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250" tabRatio="551" activeTab="0"/>
  </bookViews>
  <sheets>
    <sheet name="ОДН с водоотв." sheetId="1" r:id="rId1"/>
  </sheets>
  <definedNames>
    <definedName name="_xlnm.Print_Area" localSheetId="0">'ОДН с водоотв.'!$A$1:$AC$60</definedName>
  </definedNames>
  <calcPr fullCalcOnLoad="1"/>
</workbook>
</file>

<file path=xl/sharedStrings.xml><?xml version="1.0" encoding="utf-8"?>
<sst xmlns="http://schemas.openxmlformats.org/spreadsheetml/2006/main" count="107" uniqueCount="85">
  <si>
    <t>Итого</t>
  </si>
  <si>
    <t>Многоэтажные дома с мусоропроводом и лифтами</t>
  </si>
  <si>
    <t>Многоэтажные дома с мусоропроводом и лифтами без газоснабжения (электроплиты)</t>
  </si>
  <si>
    <t>Многоэтажные дома без мусоропроводов без лифтов</t>
  </si>
  <si>
    <t>микрорайон  Маркова д.3</t>
  </si>
  <si>
    <t>микрорайон  Маркова д.5</t>
  </si>
  <si>
    <t>микрорайон  Маркова д.12а</t>
  </si>
  <si>
    <t>микрорайон  Маркова д.13</t>
  </si>
  <si>
    <t>микрорайон  Маркова д.16</t>
  </si>
  <si>
    <t>микрорайон  Маркова д.16а</t>
  </si>
  <si>
    <t>микрорайон  Маркова д.17</t>
  </si>
  <si>
    <t>микрорайон  Маркова д.18</t>
  </si>
  <si>
    <t>микрорайон  Маркова д.19</t>
  </si>
  <si>
    <t>микрорайон  Маркова д.25</t>
  </si>
  <si>
    <t>микрорайон  Маркова д.27</t>
  </si>
  <si>
    <t>микрорайон  Маркова д.33</t>
  </si>
  <si>
    <t>Всего по г.п.Дмитров</t>
  </si>
  <si>
    <t>Общая площадь, м2</t>
  </si>
  <si>
    <t>Адрес жилых домов</t>
  </si>
  <si>
    <t>№ п/п</t>
  </si>
  <si>
    <t>микрорайон Маркова д.2</t>
  </si>
  <si>
    <t>микрорайон Маркова д.4</t>
  </si>
  <si>
    <t>микрорайон Маркова д.7</t>
  </si>
  <si>
    <t>микрорайон Маркова д.9</t>
  </si>
  <si>
    <t>микрорайон Маркова д.21</t>
  </si>
  <si>
    <t>микрорайон Маркова д.22</t>
  </si>
  <si>
    <t>микрорайон Маркова д.24</t>
  </si>
  <si>
    <t>микрорайон Маркова д.35</t>
  </si>
  <si>
    <t>микрорайон Маркова д.39</t>
  </si>
  <si>
    <t>микрорайон Маркова д.41</t>
  </si>
  <si>
    <t>микрорайон Аверьянова д.3</t>
  </si>
  <si>
    <t>микрорайон Аверьянова д.4</t>
  </si>
  <si>
    <t>микрорайон Аверьянова д.5</t>
  </si>
  <si>
    <t>микрорайон Аверьянова д.8</t>
  </si>
  <si>
    <t>микрорайон Аверьянова д.9</t>
  </si>
  <si>
    <t>микрорайон Аверьянова д.11</t>
  </si>
  <si>
    <t>микрорайон Аверьянова д.14</t>
  </si>
  <si>
    <t>микрорайон Аверьянова д.16</t>
  </si>
  <si>
    <t>микрорайон Аверьянова д.18</t>
  </si>
  <si>
    <t>микрорайон Аверьянова д.19</t>
  </si>
  <si>
    <t>микрорайон Аверьянова д.1</t>
  </si>
  <si>
    <t>микрорайон Аверьянова д.2</t>
  </si>
  <si>
    <t>микрорайон  Маркова д.8</t>
  </si>
  <si>
    <t>микрорайон  Маркова д.10</t>
  </si>
  <si>
    <t>микрорайон  Маркова д.11</t>
  </si>
  <si>
    <t>микрорайон  Маркова д.12</t>
  </si>
  <si>
    <t>Площадь жилых помещений   м2</t>
  </si>
  <si>
    <t>Площадь нежилых помещений м2</t>
  </si>
  <si>
    <t xml:space="preserve">Экономист </t>
  </si>
  <si>
    <t>Стоимость электрической энергии кВт.ч. (руб.) с НДС</t>
  </si>
  <si>
    <t>Общая площадь помещений входящих в состав общего имущества МКД (м2)</t>
  </si>
  <si>
    <t>Количество этажей                     шт.</t>
  </si>
  <si>
    <t>Стоимость холодной воды (руб.) с НДС</t>
  </si>
  <si>
    <t>Холодное водоснабжение              (м3/м2) в месяц</t>
  </si>
  <si>
    <t>Горячее водоснабжение               (м3/м2) в месяц</t>
  </si>
  <si>
    <t xml:space="preserve">Количество электрической энергии, потребляемой при содержании общего имущества  в год кВт.ч. </t>
  </si>
  <si>
    <t>Сумма в отношении электроснабжения, потребляемая при содержании общего имущества в год (руб.)</t>
  </si>
  <si>
    <t>Норматив потребления электрической энергии при содержании общего имущества МКД кВт.ч. в месяц на 1кв.м.</t>
  </si>
  <si>
    <t>Количество холодной воды, потребляемой при содержании общего имущества  в год м3</t>
  </si>
  <si>
    <t>Сумма  в отношении холодного водоснабжения, потребляемого при содержании общего имущества год  (руб.)</t>
  </si>
  <si>
    <t>Количество горячей воды, потребляемой при содержании общего имущества  в год м3</t>
  </si>
  <si>
    <t>Сумма  в отношении горячего водоснабжения, потребляемого при содержании общего имущества год  (руб.)</t>
  </si>
  <si>
    <t>Стоимость водоотведения (руб.) с НДС</t>
  </si>
  <si>
    <t>Гусева И.А.</t>
  </si>
  <si>
    <r>
      <t xml:space="preserve">Тариф в отношении электроснабжения, потребляемого при содержании общего имущества  (руб./м2)      </t>
    </r>
    <r>
      <rPr>
        <b/>
        <sz val="9"/>
        <color indexed="10"/>
        <rFont val="Times New Roman"/>
        <family val="1"/>
      </rPr>
      <t xml:space="preserve"> с 01.07.2021 г.</t>
    </r>
  </si>
  <si>
    <t>ГВС</t>
  </si>
  <si>
    <t>ХВС</t>
  </si>
  <si>
    <t>носитель (ХВС)</t>
  </si>
  <si>
    <t>подогрев (тепловая энергия)</t>
  </si>
  <si>
    <r>
      <t xml:space="preserve">Тариф  в отношении холодного водоснабжения, потребляемого при содержании общего имущества  (руб./м2)   </t>
    </r>
    <r>
      <rPr>
        <b/>
        <sz val="9"/>
        <color indexed="10"/>
        <rFont val="Times New Roman"/>
        <family val="1"/>
      </rPr>
      <t xml:space="preserve">с 01.08.2021 г.    </t>
    </r>
    <r>
      <rPr>
        <b/>
        <sz val="9"/>
        <rFont val="Times New Roman"/>
        <family val="1"/>
      </rPr>
      <t xml:space="preserve">                        </t>
    </r>
  </si>
  <si>
    <t>Тариф  в отношении горячего водоснабжения, потребляемого при содержании общего имущества  (руб./м2)   с 01.08.2021 г.</t>
  </si>
  <si>
    <t>Стоимость горячей воды подогрев (руб.) с НДС</t>
  </si>
  <si>
    <t>Стоимость горячей воды носитель (руб.) с НДС</t>
  </si>
  <si>
    <t>Носитель</t>
  </si>
  <si>
    <t>Подогрев</t>
  </si>
  <si>
    <t>Горячее водоснабжение  норматив на подогрев    (гКал/м3)</t>
  </si>
  <si>
    <t>ЭЛЕКТРОЭНЕРГИЯ</t>
  </si>
  <si>
    <t xml:space="preserve">Количество этажей                  </t>
  </si>
  <si>
    <t>Стоимость электрической энергии кВт.ч. (руб.) с НДС с 01.12.2022г.</t>
  </si>
  <si>
    <r>
      <t xml:space="preserve">Тариф в отношении электроснабжения, потребляемого при содержании общего имущества  (руб./м2)       </t>
    </r>
    <r>
      <rPr>
        <b/>
        <sz val="9"/>
        <color indexed="10"/>
        <rFont val="Times New Roman"/>
        <family val="1"/>
      </rPr>
      <t>с 01.12.2022 г.</t>
    </r>
  </si>
  <si>
    <r>
      <t xml:space="preserve">г. Дмитров    Расчет потребления коммунальных ресурсов при содержании общего имущества многоквартирного дома </t>
    </r>
    <r>
      <rPr>
        <b/>
        <i/>
        <sz val="12"/>
        <color indexed="10"/>
        <rFont val="Times New Roman"/>
        <family val="1"/>
      </rPr>
      <t>с 01 декабря 2022 года.</t>
    </r>
  </si>
  <si>
    <r>
      <t xml:space="preserve">Тариф  в отношении холодного водоснабжения, потребляемого при содержании общего имущества  (руб./м2)   </t>
    </r>
    <r>
      <rPr>
        <b/>
        <sz val="9"/>
        <color indexed="10"/>
        <rFont val="Times New Roman"/>
        <family val="1"/>
      </rPr>
      <t xml:space="preserve">с 01.12.2022 г.    </t>
    </r>
    <r>
      <rPr>
        <b/>
        <sz val="9"/>
        <rFont val="Times New Roman"/>
        <family val="1"/>
      </rPr>
      <t xml:space="preserve">                        </t>
    </r>
  </si>
  <si>
    <t>Тариф  в отношении горячего водоснабжения, потребляемого при содержании общего имущества  (руб./м2)   с 01.12.2022 г.</t>
  </si>
  <si>
    <t>носитель (ХВС)  с 01.12.2022 г.</t>
  </si>
  <si>
    <t>подогрев (тепловая энергия)  с 01.12.2022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</si>
</sst>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[$-FC19]d\ mmmm\ yyyy\ &quot;г.&quot;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rgb="FFFF000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2" fontId="22" fillId="0" borderId="0" xfId="0" applyNumberFormat="1" applyFont="1" applyFill="1" applyAlignment="1">
      <alignment/>
    </xf>
    <xf numFmtId="2" fontId="22" fillId="24" borderId="10" xfId="0" applyNumberFormat="1" applyFont="1" applyFill="1" applyBorder="1" applyAlignment="1">
      <alignment horizontal="center" shrinkToFit="1"/>
    </xf>
    <xf numFmtId="0" fontId="22" fillId="24" borderId="0" xfId="0" applyFont="1" applyFill="1" applyAlignment="1">
      <alignment/>
    </xf>
    <xf numFmtId="2" fontId="22" fillId="24" borderId="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horizontal="left" vertical="center" shrinkToFit="1"/>
    </xf>
    <xf numFmtId="0" fontId="22" fillId="24" borderId="10" xfId="0" applyFont="1" applyFill="1" applyBorder="1" applyAlignment="1">
      <alignment horizontal="center"/>
    </xf>
    <xf numFmtId="0" fontId="22" fillId="24" borderId="10" xfId="60" applyNumberFormat="1" applyFont="1" applyFill="1" applyBorder="1" applyAlignment="1">
      <alignment horizontal="center" vertical="center" shrinkToFit="1"/>
    </xf>
    <xf numFmtId="2" fontId="22" fillId="24" borderId="10" xfId="0" applyNumberFormat="1" applyFont="1" applyFill="1" applyBorder="1" applyAlignment="1">
      <alignment horizontal="center"/>
    </xf>
    <xf numFmtId="0" fontId="22" fillId="24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2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center"/>
    </xf>
    <xf numFmtId="2" fontId="22" fillId="24" borderId="10" xfId="0" applyNumberFormat="1" applyFont="1" applyFill="1" applyBorder="1" applyAlignment="1" applyProtection="1">
      <alignment horizontal="center" shrinkToFit="1"/>
      <protection locked="0"/>
    </xf>
    <xf numFmtId="0" fontId="21" fillId="24" borderId="1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2" fontId="21" fillId="24" borderId="10" xfId="0" applyNumberFormat="1" applyFont="1" applyFill="1" applyBorder="1" applyAlignment="1">
      <alignment horizontal="center"/>
    </xf>
    <xf numFmtId="1" fontId="21" fillId="24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2" fillId="24" borderId="10" xfId="0" applyFont="1" applyFill="1" applyBorder="1" applyAlignment="1">
      <alignment/>
    </xf>
    <xf numFmtId="2" fontId="22" fillId="24" borderId="1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172" fontId="22" fillId="24" borderId="10" xfId="0" applyNumberFormat="1" applyFont="1" applyFill="1" applyBorder="1" applyAlignment="1">
      <alignment horizontal="center"/>
    </xf>
    <xf numFmtId="0" fontId="26" fillId="24" borderId="0" xfId="0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left" vertical="center" shrinkToFit="1"/>
    </xf>
    <xf numFmtId="0" fontId="34" fillId="24" borderId="10" xfId="0" applyFont="1" applyFill="1" applyBorder="1" applyAlignment="1">
      <alignment/>
    </xf>
    <xf numFmtId="173" fontId="22" fillId="24" borderId="10" xfId="0" applyNumberFormat="1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 vertical="center" textRotation="90" wrapText="1"/>
    </xf>
    <xf numFmtId="0" fontId="23" fillId="24" borderId="12" xfId="0" applyFont="1" applyFill="1" applyBorder="1" applyAlignment="1">
      <alignment vertical="center" textRotation="90" wrapText="1"/>
    </xf>
    <xf numFmtId="0" fontId="0" fillId="24" borderId="12" xfId="0" applyFill="1" applyBorder="1" applyAlignment="1">
      <alignment horizontal="center" vertical="center" textRotation="90" wrapText="1"/>
    </xf>
    <xf numFmtId="0" fontId="23" fillId="24" borderId="13" xfId="0" applyFont="1" applyFill="1" applyBorder="1" applyAlignment="1">
      <alignment vertical="center" textRotation="90" wrapText="1"/>
    </xf>
    <xf numFmtId="0" fontId="0" fillId="24" borderId="13" xfId="0" applyFill="1" applyBorder="1" applyAlignment="1">
      <alignment horizontal="center" vertical="center" textRotation="90" wrapText="1"/>
    </xf>
    <xf numFmtId="1" fontId="26" fillId="24" borderId="0" xfId="0" applyNumberFormat="1" applyFont="1" applyFill="1" applyBorder="1" applyAlignment="1">
      <alignment vertical="center" wrapText="1"/>
    </xf>
    <xf numFmtId="0" fontId="26" fillId="24" borderId="0" xfId="0" applyFont="1" applyFill="1" applyBorder="1" applyAlignment="1">
      <alignment horizontal="center" vertical="center" wrapText="1"/>
    </xf>
    <xf numFmtId="4" fontId="21" fillId="24" borderId="10" xfId="0" applyNumberFormat="1" applyFont="1" applyFill="1" applyBorder="1" applyAlignment="1">
      <alignment horizontal="center"/>
    </xf>
    <xf numFmtId="0" fontId="25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2" fillId="25" borderId="0" xfId="0" applyFont="1" applyFill="1" applyAlignment="1">
      <alignment/>
    </xf>
    <xf numFmtId="0" fontId="23" fillId="25" borderId="14" xfId="0" applyFont="1" applyFill="1" applyBorder="1" applyAlignment="1">
      <alignment horizontal="center" vertical="center" textRotation="90" wrapText="1"/>
    </xf>
    <xf numFmtId="0" fontId="23" fillId="25" borderId="15" xfId="0" applyFont="1" applyFill="1" applyBorder="1" applyAlignment="1">
      <alignment horizontal="center" vertical="center" textRotation="90" wrapText="1"/>
    </xf>
    <xf numFmtId="0" fontId="22" fillId="25" borderId="16" xfId="0" applyFont="1" applyFill="1" applyBorder="1" applyAlignment="1">
      <alignment/>
    </xf>
    <xf numFmtId="0" fontId="22" fillId="25" borderId="17" xfId="0" applyFont="1" applyFill="1" applyBorder="1" applyAlignment="1">
      <alignment/>
    </xf>
    <xf numFmtId="0" fontId="22" fillId="25" borderId="18" xfId="0" applyFont="1" applyFill="1" applyBorder="1" applyAlignment="1">
      <alignment/>
    </xf>
    <xf numFmtId="0" fontId="22" fillId="25" borderId="19" xfId="0" applyFont="1" applyFill="1" applyBorder="1" applyAlignment="1">
      <alignment/>
    </xf>
    <xf numFmtId="2" fontId="22" fillId="25" borderId="16" xfId="0" applyNumberFormat="1" applyFont="1" applyFill="1" applyBorder="1" applyAlignment="1">
      <alignment/>
    </xf>
    <xf numFmtId="2" fontId="22" fillId="25" borderId="17" xfId="0" applyNumberFormat="1" applyFont="1" applyFill="1" applyBorder="1" applyAlignment="1">
      <alignment/>
    </xf>
    <xf numFmtId="2" fontId="22" fillId="25" borderId="18" xfId="0" applyNumberFormat="1" applyFont="1" applyFill="1" applyBorder="1" applyAlignment="1">
      <alignment/>
    </xf>
    <xf numFmtId="2" fontId="21" fillId="25" borderId="19" xfId="0" applyNumberFormat="1" applyFont="1" applyFill="1" applyBorder="1" applyAlignment="1">
      <alignment/>
    </xf>
    <xf numFmtId="2" fontId="21" fillId="25" borderId="16" xfId="0" applyNumberFormat="1" applyFont="1" applyFill="1" applyBorder="1" applyAlignment="1">
      <alignment horizontal="center"/>
    </xf>
    <xf numFmtId="2" fontId="21" fillId="25" borderId="17" xfId="0" applyNumberFormat="1" applyFont="1" applyFill="1" applyBorder="1" applyAlignment="1">
      <alignment horizontal="center"/>
    </xf>
    <xf numFmtId="2" fontId="21" fillId="25" borderId="18" xfId="0" applyNumberFormat="1" applyFont="1" applyFill="1" applyBorder="1" applyAlignment="1">
      <alignment horizontal="center"/>
    </xf>
    <xf numFmtId="0" fontId="21" fillId="25" borderId="19" xfId="0" applyFont="1" applyFill="1" applyBorder="1" applyAlignment="1">
      <alignment/>
    </xf>
    <xf numFmtId="0" fontId="23" fillId="25" borderId="20" xfId="0" applyFont="1" applyFill="1" applyBorder="1" applyAlignment="1">
      <alignment horizontal="center" vertical="center" textRotation="90" wrapText="1"/>
    </xf>
    <xf numFmtId="0" fontId="23" fillId="25" borderId="0" xfId="0" applyFont="1" applyFill="1" applyBorder="1" applyAlignment="1">
      <alignment horizontal="center" vertical="center" textRotation="90" wrapText="1"/>
    </xf>
    <xf numFmtId="0" fontId="23" fillId="25" borderId="21" xfId="0" applyFont="1" applyFill="1" applyBorder="1" applyAlignment="1">
      <alignment horizontal="center" vertical="center" textRotation="90" wrapText="1"/>
    </xf>
    <xf numFmtId="0" fontId="34" fillId="25" borderId="18" xfId="0" applyFont="1" applyFill="1" applyBorder="1" applyAlignment="1">
      <alignment/>
    </xf>
    <xf numFmtId="2" fontId="21" fillId="26" borderId="10" xfId="0" applyNumberFormat="1" applyFont="1" applyFill="1" applyBorder="1" applyAlignment="1">
      <alignment horizontal="center" shrinkToFit="1"/>
    </xf>
    <xf numFmtId="2" fontId="21" fillId="26" borderId="10" xfId="0" applyNumberFormat="1" applyFont="1" applyFill="1" applyBorder="1" applyAlignment="1">
      <alignment horizontal="center"/>
    </xf>
    <xf numFmtId="0" fontId="21" fillId="26" borderId="22" xfId="0" applyFont="1" applyFill="1" applyBorder="1" applyAlignment="1">
      <alignment horizontal="center"/>
    </xf>
    <xf numFmtId="0" fontId="21" fillId="26" borderId="23" xfId="0" applyFont="1" applyFill="1" applyBorder="1" applyAlignment="1">
      <alignment/>
    </xf>
    <xf numFmtId="2" fontId="21" fillId="26" borderId="23" xfId="0" applyNumberFormat="1" applyFont="1" applyFill="1" applyBorder="1" applyAlignment="1">
      <alignment/>
    </xf>
    <xf numFmtId="2" fontId="21" fillId="26" borderId="23" xfId="0" applyNumberFormat="1" applyFont="1" applyFill="1" applyBorder="1" applyAlignment="1">
      <alignment horizontal="center"/>
    </xf>
    <xf numFmtId="0" fontId="21" fillId="24" borderId="10" xfId="60" applyNumberFormat="1" applyFont="1" applyFill="1" applyBorder="1" applyAlignment="1">
      <alignment horizontal="center" vertical="center" shrinkToFit="1"/>
    </xf>
    <xf numFmtId="4" fontId="22" fillId="24" borderId="10" xfId="0" applyNumberFormat="1" applyFont="1" applyFill="1" applyBorder="1" applyAlignment="1">
      <alignment horizontal="center"/>
    </xf>
    <xf numFmtId="4" fontId="21" fillId="25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/>
    </xf>
    <xf numFmtId="4" fontId="22" fillId="24" borderId="10" xfId="0" applyNumberFormat="1" applyFont="1" applyFill="1" applyBorder="1" applyAlignment="1">
      <alignment/>
    </xf>
    <xf numFmtId="4" fontId="21" fillId="26" borderId="23" xfId="0" applyNumberFormat="1" applyFont="1" applyFill="1" applyBorder="1" applyAlignment="1">
      <alignment/>
    </xf>
    <xf numFmtId="4" fontId="21" fillId="25" borderId="16" xfId="0" applyNumberFormat="1" applyFont="1" applyFill="1" applyBorder="1" applyAlignment="1">
      <alignment horizontal="center"/>
    </xf>
    <xf numFmtId="4" fontId="21" fillId="25" borderId="17" xfId="0" applyNumberFormat="1" applyFont="1" applyFill="1" applyBorder="1" applyAlignment="1">
      <alignment horizontal="center"/>
    </xf>
    <xf numFmtId="4" fontId="21" fillId="25" borderId="18" xfId="0" applyNumberFormat="1" applyFont="1" applyFill="1" applyBorder="1" applyAlignment="1">
      <alignment horizontal="center"/>
    </xf>
    <xf numFmtId="4" fontId="21" fillId="25" borderId="19" xfId="0" applyNumberFormat="1" applyFont="1" applyFill="1" applyBorder="1" applyAlignment="1">
      <alignment/>
    </xf>
    <xf numFmtId="4" fontId="22" fillId="0" borderId="0" xfId="0" applyNumberFormat="1" applyFont="1" applyFill="1" applyAlignment="1">
      <alignment/>
    </xf>
    <xf numFmtId="4" fontId="21" fillId="24" borderId="10" xfId="0" applyNumberFormat="1" applyFont="1" applyFill="1" applyBorder="1" applyAlignment="1">
      <alignment horizontal="left"/>
    </xf>
    <xf numFmtId="4" fontId="21" fillId="26" borderId="24" xfId="0" applyNumberFormat="1" applyFont="1" applyFill="1" applyBorder="1" applyAlignment="1">
      <alignment/>
    </xf>
    <xf numFmtId="4" fontId="21" fillId="25" borderId="25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textRotation="90" wrapText="1"/>
    </xf>
    <xf numFmtId="0" fontId="23" fillId="0" borderId="26" xfId="0" applyFont="1" applyBorder="1" applyAlignment="1">
      <alignment horizontal="center" vertical="center" textRotation="90" wrapText="1"/>
    </xf>
    <xf numFmtId="0" fontId="23" fillId="0" borderId="27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center" vertical="center" textRotation="90" wrapText="1"/>
    </xf>
    <xf numFmtId="0" fontId="23" fillId="0" borderId="29" xfId="0" applyFont="1" applyBorder="1" applyAlignment="1">
      <alignment horizontal="center" vertical="center" textRotation="90" wrapText="1"/>
    </xf>
    <xf numFmtId="0" fontId="23" fillId="0" borderId="30" xfId="0" applyFont="1" applyBorder="1" applyAlignment="1">
      <alignment horizontal="center" vertical="center" textRotation="90" wrapText="1"/>
    </xf>
    <xf numFmtId="0" fontId="23" fillId="0" borderId="31" xfId="0" applyFont="1" applyBorder="1" applyAlignment="1">
      <alignment horizontal="center" vertical="center" textRotation="90" wrapText="1"/>
    </xf>
    <xf numFmtId="0" fontId="22" fillId="24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 textRotation="90" wrapText="1"/>
    </xf>
    <xf numFmtId="0" fontId="22" fillId="0" borderId="31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25" borderId="32" xfId="0" applyFont="1" applyFill="1" applyBorder="1" applyAlignment="1">
      <alignment horizontal="center"/>
    </xf>
    <xf numFmtId="0" fontId="22" fillId="25" borderId="33" xfId="0" applyFont="1" applyFill="1" applyBorder="1" applyAlignment="1">
      <alignment horizontal="center"/>
    </xf>
    <xf numFmtId="0" fontId="22" fillId="25" borderId="34" xfId="0" applyFont="1" applyFill="1" applyBorder="1" applyAlignment="1">
      <alignment horizontal="center"/>
    </xf>
    <xf numFmtId="0" fontId="23" fillId="25" borderId="14" xfId="0" applyFont="1" applyFill="1" applyBorder="1" applyAlignment="1">
      <alignment horizontal="center" vertical="center" textRotation="90" wrapText="1"/>
    </xf>
    <xf numFmtId="0" fontId="23" fillId="25" borderId="15" xfId="0" applyFont="1" applyFill="1" applyBorder="1" applyAlignment="1">
      <alignment horizontal="center" vertical="center" textRotation="90" wrapText="1"/>
    </xf>
    <xf numFmtId="0" fontId="23" fillId="25" borderId="29" xfId="0" applyFont="1" applyFill="1" applyBorder="1" applyAlignment="1">
      <alignment horizontal="center" vertical="center" textRotation="90" wrapText="1"/>
    </xf>
    <xf numFmtId="0" fontId="23" fillId="25" borderId="30" xfId="0" applyFont="1" applyFill="1" applyBorder="1" applyAlignment="1">
      <alignment horizontal="center" vertical="center" textRotation="90" wrapText="1"/>
    </xf>
    <xf numFmtId="0" fontId="23" fillId="25" borderId="31" xfId="0" applyFont="1" applyFill="1" applyBorder="1" applyAlignment="1">
      <alignment horizontal="center" vertical="center" textRotation="90" wrapText="1"/>
    </xf>
    <xf numFmtId="0" fontId="23" fillId="25" borderId="28" xfId="0" applyFont="1" applyFill="1" applyBorder="1" applyAlignment="1">
      <alignment horizontal="center" vertical="center" textRotation="90" wrapText="1"/>
    </xf>
    <xf numFmtId="0" fontId="23" fillId="25" borderId="26" xfId="0" applyFont="1" applyFill="1" applyBorder="1" applyAlignment="1">
      <alignment horizontal="center" vertical="center" textRotation="90" wrapText="1"/>
    </xf>
    <xf numFmtId="0" fontId="23" fillId="25" borderId="27" xfId="0" applyFont="1" applyFill="1" applyBorder="1" applyAlignment="1">
      <alignment horizontal="center" vertical="center" textRotation="90" wrapText="1"/>
    </xf>
    <xf numFmtId="0" fontId="23" fillId="24" borderId="18" xfId="0" applyFont="1" applyFill="1" applyBorder="1" applyAlignment="1">
      <alignment horizontal="center" vertical="center" textRotation="90" wrapText="1"/>
    </xf>
    <xf numFmtId="0" fontId="23" fillId="24" borderId="17" xfId="0" applyFont="1" applyFill="1" applyBorder="1" applyAlignment="1">
      <alignment horizontal="center" vertical="center" textRotation="90" wrapText="1"/>
    </xf>
    <xf numFmtId="0" fontId="23" fillId="0" borderId="11" xfId="0" applyFont="1" applyFill="1" applyBorder="1" applyAlignment="1">
      <alignment horizontal="center" vertical="center" textRotation="90" wrapText="1"/>
    </xf>
    <xf numFmtId="0" fontId="23" fillId="0" borderId="12" xfId="0" applyFont="1" applyFill="1" applyBorder="1" applyAlignment="1">
      <alignment horizontal="center" vertical="center" textRotation="90" wrapText="1"/>
    </xf>
    <xf numFmtId="0" fontId="23" fillId="0" borderId="13" xfId="0" applyFont="1" applyFill="1" applyBorder="1" applyAlignment="1">
      <alignment horizontal="center" vertical="center" textRotation="90" wrapText="1"/>
    </xf>
    <xf numFmtId="4" fontId="21" fillId="24" borderId="18" xfId="0" applyNumberFormat="1" applyFont="1" applyFill="1" applyBorder="1" applyAlignment="1">
      <alignment horizontal="center"/>
    </xf>
    <xf numFmtId="4" fontId="21" fillId="24" borderId="16" xfId="0" applyNumberFormat="1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textRotation="90" wrapText="1"/>
    </xf>
    <xf numFmtId="0" fontId="0" fillId="24" borderId="10" xfId="0" applyFill="1" applyBorder="1" applyAlignment="1">
      <alignment horizontal="center" vertical="center" textRotation="90" wrapText="1"/>
    </xf>
    <xf numFmtId="49" fontId="24" fillId="24" borderId="18" xfId="0" applyNumberFormat="1" applyFont="1" applyFill="1" applyBorder="1" applyAlignment="1">
      <alignment horizontal="center" vertical="center"/>
    </xf>
    <xf numFmtId="49" fontId="24" fillId="24" borderId="17" xfId="0" applyNumberFormat="1" applyFont="1" applyFill="1" applyBorder="1" applyAlignment="1">
      <alignment horizontal="center" vertical="center"/>
    </xf>
    <xf numFmtId="49" fontId="24" fillId="24" borderId="16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 textRotation="90" wrapText="1"/>
    </xf>
    <xf numFmtId="0" fontId="23" fillId="24" borderId="12" xfId="0" applyFont="1" applyFill="1" applyBorder="1" applyAlignment="1">
      <alignment horizontal="center" vertical="center" textRotation="90" wrapText="1"/>
    </xf>
    <xf numFmtId="0" fontId="23" fillId="24" borderId="13" xfId="0" applyFont="1" applyFill="1" applyBorder="1" applyAlignment="1">
      <alignment horizontal="center" vertical="center" textRotation="90" wrapText="1"/>
    </xf>
    <xf numFmtId="0" fontId="21" fillId="24" borderId="18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textRotation="90" wrapText="1"/>
    </xf>
    <xf numFmtId="0" fontId="36" fillId="24" borderId="10" xfId="0" applyFont="1" applyFill="1" applyBorder="1" applyAlignment="1">
      <alignment horizontal="center" vertical="center" textRotation="90" wrapText="1"/>
    </xf>
    <xf numFmtId="0" fontId="23" fillId="26" borderId="35" xfId="0" applyFont="1" applyFill="1" applyBorder="1" applyAlignment="1">
      <alignment horizontal="center" vertical="center" textRotation="90" wrapText="1"/>
    </xf>
    <xf numFmtId="0" fontId="23" fillId="26" borderId="36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23" fillId="26" borderId="12" xfId="0" applyFont="1" applyFill="1" applyBorder="1" applyAlignment="1">
      <alignment horizontal="center" vertical="center" textRotation="90" wrapText="1"/>
    </xf>
    <xf numFmtId="0" fontId="23" fillId="26" borderId="13" xfId="0" applyFont="1" applyFill="1" applyBorder="1" applyAlignment="1">
      <alignment horizontal="center" vertical="center" textRotation="90" wrapText="1"/>
    </xf>
    <xf numFmtId="0" fontId="29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3" fillId="27" borderId="12" xfId="0" applyFont="1" applyFill="1" applyBorder="1" applyAlignment="1">
      <alignment horizontal="center" vertical="center" textRotation="90" wrapText="1"/>
    </xf>
    <xf numFmtId="0" fontId="23" fillId="27" borderId="13" xfId="0" applyFont="1" applyFill="1" applyBorder="1" applyAlignment="1">
      <alignment horizontal="center" vertical="center" textRotation="90" wrapText="1"/>
    </xf>
    <xf numFmtId="2" fontId="21" fillId="27" borderId="10" xfId="0" applyNumberFormat="1" applyFont="1" applyFill="1" applyBorder="1" applyAlignment="1">
      <alignment horizontal="center"/>
    </xf>
    <xf numFmtId="1" fontId="21" fillId="27" borderId="10" xfId="0" applyNumberFormat="1" applyFont="1" applyFill="1" applyBorder="1" applyAlignment="1">
      <alignment horizontal="center"/>
    </xf>
    <xf numFmtId="4" fontId="21" fillId="27" borderId="10" xfId="0" applyNumberFormat="1" applyFont="1" applyFill="1" applyBorder="1" applyAlignment="1">
      <alignment horizontal="center"/>
    </xf>
    <xf numFmtId="0" fontId="23" fillId="26" borderId="37" xfId="0" applyFont="1" applyFill="1" applyBorder="1" applyAlignment="1">
      <alignment horizontal="center" vertical="center" textRotation="90" wrapText="1"/>
    </xf>
    <xf numFmtId="0" fontId="23" fillId="26" borderId="38" xfId="0" applyFont="1" applyFill="1" applyBorder="1" applyAlignment="1">
      <alignment horizontal="center" vertical="center" textRotation="90" wrapText="1"/>
    </xf>
    <xf numFmtId="0" fontId="23" fillId="26" borderId="39" xfId="0" applyFont="1" applyFill="1" applyBorder="1" applyAlignment="1">
      <alignment horizontal="center" vertical="center" textRotation="90" wrapText="1"/>
    </xf>
    <xf numFmtId="0" fontId="23" fillId="26" borderId="40" xfId="0" applyFont="1" applyFill="1" applyBorder="1" applyAlignment="1">
      <alignment horizontal="center" vertical="center" textRotation="90" wrapText="1"/>
    </xf>
    <xf numFmtId="0" fontId="23" fillId="26" borderId="41" xfId="0" applyFont="1" applyFill="1" applyBorder="1" applyAlignment="1">
      <alignment horizontal="center" vertical="center" textRotation="90" wrapText="1"/>
    </xf>
    <xf numFmtId="0" fontId="23" fillId="26" borderId="42" xfId="0" applyFont="1" applyFill="1" applyBorder="1" applyAlignment="1">
      <alignment horizontal="center" vertical="center" textRotation="90" wrapText="1"/>
    </xf>
    <xf numFmtId="0" fontId="22" fillId="26" borderId="43" xfId="0" applyFont="1" applyFill="1" applyBorder="1" applyAlignment="1">
      <alignment/>
    </xf>
    <xf numFmtId="0" fontId="22" fillId="26" borderId="44" xfId="0" applyFont="1" applyFill="1" applyBorder="1" applyAlignment="1">
      <alignment/>
    </xf>
    <xf numFmtId="2" fontId="21" fillId="26" borderId="43" xfId="0" applyNumberFormat="1" applyFont="1" applyFill="1" applyBorder="1" applyAlignment="1">
      <alignment/>
    </xf>
    <xf numFmtId="2" fontId="21" fillId="26" borderId="44" xfId="0" applyNumberFormat="1" applyFont="1" applyFill="1" applyBorder="1" applyAlignment="1">
      <alignment/>
    </xf>
    <xf numFmtId="0" fontId="21" fillId="26" borderId="43" xfId="0" applyFont="1" applyFill="1" applyBorder="1" applyAlignment="1">
      <alignment/>
    </xf>
    <xf numFmtId="0" fontId="21" fillId="26" borderId="44" xfId="0" applyFont="1" applyFill="1" applyBorder="1" applyAlignment="1">
      <alignment/>
    </xf>
    <xf numFmtId="4" fontId="21" fillId="26" borderId="43" xfId="0" applyNumberFormat="1" applyFont="1" applyFill="1" applyBorder="1" applyAlignment="1">
      <alignment/>
    </xf>
    <xf numFmtId="4" fontId="21" fillId="26" borderId="44" xfId="0" applyNumberFormat="1" applyFont="1" applyFill="1" applyBorder="1" applyAlignment="1">
      <alignment/>
    </xf>
    <xf numFmtId="4" fontId="21" fillId="26" borderId="45" xfId="0" applyNumberFormat="1" applyFont="1" applyFill="1" applyBorder="1" applyAlignment="1">
      <alignment/>
    </xf>
    <xf numFmtId="4" fontId="21" fillId="26" borderId="46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tabSelected="1" zoomScalePageLayoutView="0" workbookViewId="0" topLeftCell="A1">
      <pane xSplit="7" ySplit="7" topLeftCell="H8" activePane="bottomRight" state="frozen"/>
      <selection pane="topLeft" activeCell="F1" sqref="F1"/>
      <selection pane="topRight" activeCell="G1" sqref="G1"/>
      <selection pane="bottomLeft" activeCell="A8" sqref="A8"/>
      <selection pane="bottomRight" activeCell="AE4" sqref="AE4:AE7"/>
    </sheetView>
  </sheetViews>
  <sheetFormatPr defaultColWidth="9.00390625" defaultRowHeight="12.75"/>
  <cols>
    <col min="1" max="1" width="5.625" style="3" customWidth="1"/>
    <col min="2" max="2" width="34.25390625" style="3" customWidth="1"/>
    <col min="3" max="7" width="10.75390625" style="3" customWidth="1"/>
    <col min="8" max="8" width="11.625" style="3" customWidth="1"/>
    <col min="9" max="9" width="11.375" style="6" customWidth="1"/>
    <col min="10" max="10" width="10.875" style="6" customWidth="1"/>
    <col min="11" max="11" width="13.375" style="6" customWidth="1"/>
    <col min="12" max="12" width="11.125" style="6" customWidth="1"/>
    <col min="13" max="13" width="9.75390625" style="3" customWidth="1"/>
    <col min="14" max="15" width="10.75390625" style="3" customWidth="1"/>
    <col min="16" max="16" width="10.75390625" style="6" customWidth="1"/>
    <col min="17" max="17" width="7.375" style="6" customWidth="1"/>
    <col min="18" max="20" width="10.75390625" style="6" customWidth="1"/>
    <col min="21" max="21" width="10.75390625" style="3" customWidth="1"/>
    <col min="22" max="22" width="10.75390625" style="6" customWidth="1"/>
    <col min="23" max="23" width="10.75390625" style="39" customWidth="1"/>
    <col min="24" max="27" width="10.75390625" style="3" customWidth="1"/>
    <col min="28" max="32" width="10.75390625" style="6" customWidth="1"/>
    <col min="33" max="16384" width="9.125" style="3" customWidth="1"/>
  </cols>
  <sheetData>
    <row r="1" spans="1:12" ht="12.75" customHeight="1">
      <c r="A1" s="1"/>
      <c r="B1" s="2"/>
      <c r="E1" s="4"/>
      <c r="F1" s="4"/>
      <c r="G1" s="4"/>
      <c r="H1" s="144"/>
      <c r="I1" s="144"/>
      <c r="J1" s="35"/>
      <c r="K1" s="26"/>
      <c r="L1" s="36"/>
    </row>
    <row r="2" spans="1:32" ht="26.25" customHeight="1" thickBot="1">
      <c r="A2" s="143" t="s">
        <v>80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</row>
    <row r="3" spans="1:32" ht="18" customHeight="1" thickBot="1">
      <c r="A3" s="84" t="s">
        <v>19</v>
      </c>
      <c r="B3" s="80" t="s">
        <v>18</v>
      </c>
      <c r="C3" s="79" t="s">
        <v>17</v>
      </c>
      <c r="D3" s="79"/>
      <c r="E3" s="79"/>
      <c r="F3" s="96" t="s">
        <v>77</v>
      </c>
      <c r="G3" s="96" t="s">
        <v>50</v>
      </c>
      <c r="H3" s="95" t="s">
        <v>76</v>
      </c>
      <c r="I3" s="95"/>
      <c r="J3" s="95"/>
      <c r="K3" s="95"/>
      <c r="L3" s="95"/>
      <c r="M3" s="97"/>
      <c r="N3" s="98"/>
      <c r="O3" s="98"/>
      <c r="W3" s="61" t="s">
        <v>66</v>
      </c>
      <c r="X3" s="40"/>
      <c r="Y3" s="40"/>
      <c r="Z3" s="40"/>
      <c r="AA3" s="40"/>
      <c r="AB3" s="40"/>
      <c r="AC3" s="99" t="s">
        <v>65</v>
      </c>
      <c r="AD3" s="100"/>
      <c r="AE3" s="100"/>
      <c r="AF3" s="101"/>
    </row>
    <row r="4" spans="1:32" ht="53.25" customHeight="1">
      <c r="A4" s="84"/>
      <c r="B4" s="80"/>
      <c r="C4" s="80" t="s">
        <v>46</v>
      </c>
      <c r="D4" s="80" t="s">
        <v>47</v>
      </c>
      <c r="E4" s="81" t="s">
        <v>0</v>
      </c>
      <c r="F4" s="96"/>
      <c r="G4" s="96"/>
      <c r="H4" s="113" t="s">
        <v>57</v>
      </c>
      <c r="I4" s="145" t="s">
        <v>78</v>
      </c>
      <c r="J4" s="126" t="s">
        <v>55</v>
      </c>
      <c r="K4" s="126" t="s">
        <v>56</v>
      </c>
      <c r="L4" s="141" t="s">
        <v>79</v>
      </c>
      <c r="M4" s="92" t="s">
        <v>53</v>
      </c>
      <c r="N4" s="86" t="s">
        <v>54</v>
      </c>
      <c r="O4" s="89" t="s">
        <v>75</v>
      </c>
      <c r="P4" s="120" t="s">
        <v>62</v>
      </c>
      <c r="Q4" s="120" t="s">
        <v>52</v>
      </c>
      <c r="R4" s="110"/>
      <c r="S4" s="111"/>
      <c r="T4" s="111"/>
      <c r="U4" s="112" t="s">
        <v>58</v>
      </c>
      <c r="V4" s="120" t="s">
        <v>59</v>
      </c>
      <c r="W4" s="138" t="s">
        <v>81</v>
      </c>
      <c r="X4" s="107" t="s">
        <v>60</v>
      </c>
      <c r="Y4" s="107" t="s">
        <v>73</v>
      </c>
      <c r="Z4" s="107" t="s">
        <v>74</v>
      </c>
      <c r="AA4" s="104" t="s">
        <v>61</v>
      </c>
      <c r="AB4" s="104" t="s">
        <v>61</v>
      </c>
      <c r="AC4" s="102" t="s">
        <v>82</v>
      </c>
      <c r="AD4" s="41"/>
      <c r="AE4" s="150" t="s">
        <v>83</v>
      </c>
      <c r="AF4" s="151" t="s">
        <v>84</v>
      </c>
    </row>
    <row r="5" spans="1:32" ht="13.5" customHeight="1" hidden="1">
      <c r="A5" s="84"/>
      <c r="B5" s="80"/>
      <c r="C5" s="80"/>
      <c r="D5" s="80"/>
      <c r="E5" s="82"/>
      <c r="F5" s="96"/>
      <c r="G5" s="96"/>
      <c r="H5" s="113"/>
      <c r="I5" s="145"/>
      <c r="J5" s="126"/>
      <c r="K5" s="126"/>
      <c r="L5" s="141"/>
      <c r="M5" s="93"/>
      <c r="N5" s="87"/>
      <c r="O5" s="90"/>
      <c r="P5" s="121"/>
      <c r="Q5" s="121"/>
      <c r="R5" s="31"/>
      <c r="S5" s="32"/>
      <c r="T5" s="32"/>
      <c r="U5" s="113"/>
      <c r="V5" s="121"/>
      <c r="W5" s="138"/>
      <c r="X5" s="108"/>
      <c r="Y5" s="108"/>
      <c r="Z5" s="108"/>
      <c r="AA5" s="105"/>
      <c r="AB5" s="105"/>
      <c r="AC5" s="102"/>
      <c r="AD5" s="41"/>
      <c r="AE5" s="152"/>
      <c r="AF5" s="153"/>
    </row>
    <row r="6" spans="1:32" ht="84" customHeight="1">
      <c r="A6" s="84"/>
      <c r="B6" s="80"/>
      <c r="C6" s="80"/>
      <c r="D6" s="80"/>
      <c r="E6" s="82"/>
      <c r="F6" s="96"/>
      <c r="G6" s="96"/>
      <c r="H6" s="113"/>
      <c r="I6" s="145"/>
      <c r="J6" s="126"/>
      <c r="K6" s="126"/>
      <c r="L6" s="141"/>
      <c r="M6" s="93"/>
      <c r="N6" s="87"/>
      <c r="O6" s="90"/>
      <c r="P6" s="121"/>
      <c r="Q6" s="121"/>
      <c r="R6" s="31" t="s">
        <v>71</v>
      </c>
      <c r="S6" s="31" t="s">
        <v>72</v>
      </c>
      <c r="T6" s="31"/>
      <c r="U6" s="113"/>
      <c r="V6" s="121"/>
      <c r="W6" s="138"/>
      <c r="X6" s="108"/>
      <c r="Y6" s="108"/>
      <c r="Z6" s="108"/>
      <c r="AA6" s="105"/>
      <c r="AB6" s="105"/>
      <c r="AC6" s="102"/>
      <c r="AD6" s="41"/>
      <c r="AE6" s="152"/>
      <c r="AF6" s="153"/>
    </row>
    <row r="7" spans="1:32" ht="19.5" customHeight="1">
      <c r="A7" s="85"/>
      <c r="B7" s="80"/>
      <c r="C7" s="80"/>
      <c r="D7" s="80"/>
      <c r="E7" s="83"/>
      <c r="F7" s="96"/>
      <c r="G7" s="96"/>
      <c r="H7" s="114"/>
      <c r="I7" s="146"/>
      <c r="J7" s="127"/>
      <c r="K7" s="127"/>
      <c r="L7" s="142"/>
      <c r="M7" s="94"/>
      <c r="N7" s="88"/>
      <c r="O7" s="91"/>
      <c r="P7" s="121"/>
      <c r="Q7" s="121"/>
      <c r="R7" s="33"/>
      <c r="S7" s="34"/>
      <c r="T7" s="34"/>
      <c r="U7" s="114"/>
      <c r="V7" s="121"/>
      <c r="W7" s="139"/>
      <c r="X7" s="109"/>
      <c r="Y7" s="109"/>
      <c r="Z7" s="109"/>
      <c r="AA7" s="106"/>
      <c r="AB7" s="106"/>
      <c r="AC7" s="103"/>
      <c r="AD7" s="42"/>
      <c r="AE7" s="154"/>
      <c r="AF7" s="155"/>
    </row>
    <row r="8" spans="1:32" ht="15.75" customHeight="1">
      <c r="A8" s="131" t="s">
        <v>1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3"/>
      <c r="M8" s="21"/>
      <c r="N8" s="21"/>
      <c r="O8" s="21"/>
      <c r="P8" s="22"/>
      <c r="Q8" s="22"/>
      <c r="R8" s="22"/>
      <c r="S8" s="22"/>
      <c r="T8" s="22"/>
      <c r="U8" s="21"/>
      <c r="V8" s="22"/>
      <c r="W8" s="62"/>
      <c r="X8" s="43"/>
      <c r="Y8" s="43"/>
      <c r="Z8" s="43"/>
      <c r="AA8" s="44"/>
      <c r="AB8" s="45"/>
      <c r="AC8" s="46"/>
      <c r="AD8" s="46"/>
      <c r="AE8" s="156"/>
      <c r="AF8" s="157"/>
    </row>
    <row r="9" spans="1:32" s="6" customFormat="1" ht="13.5" customHeight="1">
      <c r="A9" s="9">
        <v>1</v>
      </c>
      <c r="B9" s="27" t="s">
        <v>20</v>
      </c>
      <c r="C9" s="16">
        <v>9670.12</v>
      </c>
      <c r="D9" s="5">
        <v>1206.52</v>
      </c>
      <c r="E9" s="5">
        <f>C9+D9</f>
        <v>10876.640000000001</v>
      </c>
      <c r="F9" s="5">
        <v>9</v>
      </c>
      <c r="G9" s="5">
        <v>1084</v>
      </c>
      <c r="H9" s="9">
        <v>3.23</v>
      </c>
      <c r="I9" s="147">
        <v>6.73</v>
      </c>
      <c r="J9" s="11">
        <f>H9*G9*12</f>
        <v>42015.840000000004</v>
      </c>
      <c r="K9" s="66">
        <f>J9*I9</f>
        <v>282766.60320000007</v>
      </c>
      <c r="L9" s="59">
        <f>K9/E9/12</f>
        <v>2.166467181041204</v>
      </c>
      <c r="M9" s="25">
        <v>0.012</v>
      </c>
      <c r="N9" s="25">
        <v>0.012</v>
      </c>
      <c r="O9" s="29">
        <v>0.0649</v>
      </c>
      <c r="P9" s="11">
        <v>34.25</v>
      </c>
      <c r="Q9" s="23">
        <v>28.38</v>
      </c>
      <c r="R9" s="23">
        <v>3028.61</v>
      </c>
      <c r="S9" s="23">
        <v>28.72</v>
      </c>
      <c r="T9" s="23">
        <f aca="true" t="shared" si="0" ref="T9:T28">SUM(O9*R9,S9)</f>
        <v>225.276789</v>
      </c>
      <c r="U9" s="23">
        <f aca="true" t="shared" si="1" ref="U9:U28">M9*G9*12</f>
        <v>156.096</v>
      </c>
      <c r="V9" s="23">
        <f aca="true" t="shared" si="2" ref="V9:V28">U9*Q9</f>
        <v>4430.00448</v>
      </c>
      <c r="W9" s="63">
        <f aca="true" t="shared" si="3" ref="W9:W28">V9/12/E9</f>
        <v>0.033941275982288646</v>
      </c>
      <c r="X9" s="47">
        <f aca="true" t="shared" si="4" ref="X9:X28">N9*G9*12</f>
        <v>156.096</v>
      </c>
      <c r="Y9" s="47">
        <f aca="true" t="shared" si="5" ref="Y9:Y28">PRODUCT(X9,S9)</f>
        <v>4483.07712</v>
      </c>
      <c r="Z9" s="47">
        <f aca="true" t="shared" si="6" ref="Z9:Z28">PRODUCT(X9,R9,O9)</f>
        <v>30681.728535744</v>
      </c>
      <c r="AA9" s="48">
        <f>SUM(Y9:Z9)</f>
        <v>35164.805655744</v>
      </c>
      <c r="AB9" s="49">
        <f aca="true" t="shared" si="7" ref="AB9:AB28">X9*T9</f>
        <v>35164.805655744</v>
      </c>
      <c r="AC9" s="50">
        <f aca="true" t="shared" si="8" ref="AC9:AC28">AB9/12/E9</f>
        <v>0.2694214823063004</v>
      </c>
      <c r="AD9" s="50">
        <f>SUM(AE9,AF9)</f>
        <v>0.2694214823063004</v>
      </c>
      <c r="AE9" s="158">
        <f aca="true" t="shared" si="9" ref="AE9:AE28">PRODUCT(Y9,1/12,1/E9)</f>
        <v>0.03434790155783403</v>
      </c>
      <c r="AF9" s="159">
        <f aca="true" t="shared" si="10" ref="AF9:AF23">PRODUCT(Z9,1/12,1/E9)</f>
        <v>0.2350735807484664</v>
      </c>
    </row>
    <row r="10" spans="1:32" s="6" customFormat="1" ht="13.5" customHeight="1">
      <c r="A10" s="9">
        <v>2</v>
      </c>
      <c r="B10" s="27" t="s">
        <v>21</v>
      </c>
      <c r="C10" s="16">
        <v>10764.27</v>
      </c>
      <c r="D10" s="5"/>
      <c r="E10" s="5">
        <f aca="true" t="shared" si="11" ref="E10:E28">C10+D10</f>
        <v>10764.27</v>
      </c>
      <c r="F10" s="5">
        <v>9</v>
      </c>
      <c r="G10" s="5">
        <v>1093.58</v>
      </c>
      <c r="H10" s="17">
        <v>3.23</v>
      </c>
      <c r="I10" s="147">
        <v>6.73</v>
      </c>
      <c r="J10" s="11">
        <f aca="true" t="shared" si="12" ref="J10:J28">H10*G10*12</f>
        <v>42387.1608</v>
      </c>
      <c r="K10" s="66">
        <f aca="true" t="shared" si="13" ref="K10:K28">J10*I10</f>
        <v>285265.592184</v>
      </c>
      <c r="L10" s="59">
        <f aca="true" t="shared" si="14" ref="L10:L28">K10/E10/12</f>
        <v>2.208429617800371</v>
      </c>
      <c r="M10" s="25">
        <v>0.012</v>
      </c>
      <c r="N10" s="25">
        <v>0.012</v>
      </c>
      <c r="O10" s="29">
        <v>0.0649</v>
      </c>
      <c r="P10" s="11">
        <v>34.25</v>
      </c>
      <c r="Q10" s="23">
        <v>28.38</v>
      </c>
      <c r="R10" s="23">
        <v>3028.61</v>
      </c>
      <c r="S10" s="23">
        <v>28.72</v>
      </c>
      <c r="T10" s="23">
        <f t="shared" si="0"/>
        <v>225.276789</v>
      </c>
      <c r="U10" s="23">
        <f t="shared" si="1"/>
        <v>157.47552</v>
      </c>
      <c r="V10" s="23">
        <f t="shared" si="2"/>
        <v>4469.1552575999995</v>
      </c>
      <c r="W10" s="63">
        <f t="shared" si="3"/>
        <v>0.03459868665501701</v>
      </c>
      <c r="X10" s="47">
        <f t="shared" si="4"/>
        <v>157.47552</v>
      </c>
      <c r="Y10" s="47">
        <f t="shared" si="5"/>
        <v>4522.6969344</v>
      </c>
      <c r="Z10" s="47">
        <f t="shared" si="6"/>
        <v>30952.88255730528</v>
      </c>
      <c r="AA10" s="48">
        <f aca="true" t="shared" si="15" ref="AA10:AA28">SUM(Y10:Z10)</f>
        <v>35475.579491705284</v>
      </c>
      <c r="AB10" s="49">
        <f t="shared" si="7"/>
        <v>35475.57949170528</v>
      </c>
      <c r="AC10" s="50">
        <f t="shared" si="8"/>
        <v>0.27463992365255047</v>
      </c>
      <c r="AD10" s="50">
        <f aca="true" t="shared" si="16" ref="AD10:AD28">SUM(AE10,AF10)</f>
        <v>0.27463992365255047</v>
      </c>
      <c r="AE10" s="158">
        <f t="shared" si="9"/>
        <v>0.03501318818647246</v>
      </c>
      <c r="AF10" s="159">
        <f t="shared" si="10"/>
        <v>0.23962673546607802</v>
      </c>
    </row>
    <row r="11" spans="1:32" s="6" customFormat="1" ht="13.5" customHeight="1">
      <c r="A11" s="9">
        <v>3</v>
      </c>
      <c r="B11" s="27" t="s">
        <v>22</v>
      </c>
      <c r="C11" s="16">
        <v>7322.67</v>
      </c>
      <c r="D11" s="5"/>
      <c r="E11" s="5">
        <f t="shared" si="11"/>
        <v>7322.67</v>
      </c>
      <c r="F11" s="5">
        <v>9</v>
      </c>
      <c r="G11" s="5">
        <v>700.9</v>
      </c>
      <c r="H11" s="17">
        <v>3.23</v>
      </c>
      <c r="I11" s="147">
        <v>6.73</v>
      </c>
      <c r="J11" s="11">
        <f t="shared" si="12"/>
        <v>27166.884</v>
      </c>
      <c r="K11" s="66">
        <f t="shared" si="13"/>
        <v>182833.12932</v>
      </c>
      <c r="L11" s="59">
        <f t="shared" si="14"/>
        <v>2.0806746869652737</v>
      </c>
      <c r="M11" s="25">
        <v>0.012</v>
      </c>
      <c r="N11" s="25">
        <v>0.012</v>
      </c>
      <c r="O11" s="29">
        <v>0.0649</v>
      </c>
      <c r="P11" s="11">
        <v>34.25</v>
      </c>
      <c r="Q11" s="23">
        <v>28.38</v>
      </c>
      <c r="R11" s="23">
        <v>3028.61</v>
      </c>
      <c r="S11" s="23">
        <v>28.72</v>
      </c>
      <c r="T11" s="23">
        <f t="shared" si="0"/>
        <v>225.276789</v>
      </c>
      <c r="U11" s="23">
        <f t="shared" si="1"/>
        <v>100.9296</v>
      </c>
      <c r="V11" s="23">
        <f t="shared" si="2"/>
        <v>2864.382048</v>
      </c>
      <c r="W11" s="63">
        <f t="shared" si="3"/>
        <v>0.03259719528532625</v>
      </c>
      <c r="X11" s="47">
        <f t="shared" si="4"/>
        <v>100.9296</v>
      </c>
      <c r="Y11" s="47">
        <f t="shared" si="5"/>
        <v>2898.6981119999996</v>
      </c>
      <c r="Z11" s="47">
        <f t="shared" si="6"/>
        <v>19838.3980910544</v>
      </c>
      <c r="AA11" s="48">
        <f t="shared" si="15"/>
        <v>22737.0962030544</v>
      </c>
      <c r="AB11" s="49">
        <f t="shared" si="7"/>
        <v>22737.0962030544</v>
      </c>
      <c r="AC11" s="50">
        <f t="shared" si="8"/>
        <v>0.2587523426456743</v>
      </c>
      <c r="AD11" s="50">
        <f t="shared" si="16"/>
        <v>0.2587523426456743</v>
      </c>
      <c r="AE11" s="158">
        <f t="shared" si="9"/>
        <v>0.03298771841418498</v>
      </c>
      <c r="AF11" s="159">
        <f t="shared" si="10"/>
        <v>0.22576462423148932</v>
      </c>
    </row>
    <row r="12" spans="1:32" s="6" customFormat="1" ht="13.5" customHeight="1">
      <c r="A12" s="9">
        <v>4</v>
      </c>
      <c r="B12" s="27" t="s">
        <v>23</v>
      </c>
      <c r="C12" s="16">
        <v>3757.67</v>
      </c>
      <c r="D12" s="5"/>
      <c r="E12" s="5">
        <f t="shared" si="11"/>
        <v>3757.67</v>
      </c>
      <c r="F12" s="5">
        <v>9</v>
      </c>
      <c r="G12" s="5">
        <v>363.8</v>
      </c>
      <c r="H12" s="17">
        <v>3.23</v>
      </c>
      <c r="I12" s="147">
        <v>6.73</v>
      </c>
      <c r="J12" s="11">
        <f t="shared" si="12"/>
        <v>14100.888</v>
      </c>
      <c r="K12" s="66">
        <f t="shared" si="13"/>
        <v>94898.97624000002</v>
      </c>
      <c r="L12" s="59">
        <f t="shared" si="14"/>
        <v>2.1045616086564283</v>
      </c>
      <c r="M12" s="25">
        <v>0.012</v>
      </c>
      <c r="N12" s="25">
        <v>0.012</v>
      </c>
      <c r="O12" s="29">
        <v>0.0649</v>
      </c>
      <c r="P12" s="11">
        <v>34.25</v>
      </c>
      <c r="Q12" s="23">
        <v>28.38</v>
      </c>
      <c r="R12" s="23">
        <v>3028.61</v>
      </c>
      <c r="S12" s="23">
        <v>28.72</v>
      </c>
      <c r="T12" s="23">
        <f t="shared" si="0"/>
        <v>225.276789</v>
      </c>
      <c r="U12" s="23">
        <f t="shared" si="1"/>
        <v>52.38720000000001</v>
      </c>
      <c r="V12" s="23">
        <f t="shared" si="2"/>
        <v>1486.7487360000002</v>
      </c>
      <c r="W12" s="63">
        <f t="shared" si="3"/>
        <v>0.03297142324898142</v>
      </c>
      <c r="X12" s="47">
        <f t="shared" si="4"/>
        <v>52.38720000000001</v>
      </c>
      <c r="Y12" s="47">
        <f t="shared" si="5"/>
        <v>1504.560384</v>
      </c>
      <c r="Z12" s="47">
        <f t="shared" si="6"/>
        <v>10297.059816700803</v>
      </c>
      <c r="AA12" s="48">
        <f t="shared" si="15"/>
        <v>11801.620200700803</v>
      </c>
      <c r="AB12" s="49">
        <f t="shared" si="7"/>
        <v>11801.620200700801</v>
      </c>
      <c r="AC12" s="50">
        <f t="shared" si="8"/>
        <v>0.2617229160778887</v>
      </c>
      <c r="AD12" s="50">
        <f t="shared" si="16"/>
        <v>0.2617229160778887</v>
      </c>
      <c r="AE12" s="158">
        <f t="shared" si="9"/>
        <v>0.03336642972906083</v>
      </c>
      <c r="AF12" s="159">
        <f t="shared" si="10"/>
        <v>0.2283564863488279</v>
      </c>
    </row>
    <row r="13" spans="1:32" s="6" customFormat="1" ht="13.5" customHeight="1">
      <c r="A13" s="9">
        <v>5</v>
      </c>
      <c r="B13" s="27" t="s">
        <v>24</v>
      </c>
      <c r="C13" s="16">
        <v>7219.27</v>
      </c>
      <c r="D13" s="5">
        <v>59.4</v>
      </c>
      <c r="E13" s="5">
        <f t="shared" si="11"/>
        <v>7278.67</v>
      </c>
      <c r="F13" s="5">
        <v>9</v>
      </c>
      <c r="G13" s="5">
        <v>705.12</v>
      </c>
      <c r="H13" s="17">
        <v>3.23</v>
      </c>
      <c r="I13" s="147">
        <v>6.73</v>
      </c>
      <c r="J13" s="11">
        <f t="shared" si="12"/>
        <v>27330.451200000003</v>
      </c>
      <c r="K13" s="66">
        <f t="shared" si="13"/>
        <v>183933.93657600004</v>
      </c>
      <c r="L13" s="59">
        <f t="shared" si="14"/>
        <v>2.1058556093352223</v>
      </c>
      <c r="M13" s="25">
        <v>0.012</v>
      </c>
      <c r="N13" s="25">
        <v>0.012</v>
      </c>
      <c r="O13" s="29">
        <v>0.0649</v>
      </c>
      <c r="P13" s="11">
        <v>34.25</v>
      </c>
      <c r="Q13" s="23">
        <v>28.38</v>
      </c>
      <c r="R13" s="23">
        <v>3028.61</v>
      </c>
      <c r="S13" s="23">
        <v>28.72</v>
      </c>
      <c r="T13" s="23">
        <f t="shared" si="0"/>
        <v>225.276789</v>
      </c>
      <c r="U13" s="23">
        <f t="shared" si="1"/>
        <v>101.53728</v>
      </c>
      <c r="V13" s="23">
        <f t="shared" si="2"/>
        <v>2881.6280064</v>
      </c>
      <c r="W13" s="63">
        <f t="shared" si="3"/>
        <v>0.03299169590048731</v>
      </c>
      <c r="X13" s="47">
        <f t="shared" si="4"/>
        <v>101.53728</v>
      </c>
      <c r="Y13" s="47">
        <f t="shared" si="5"/>
        <v>2916.1506815999996</v>
      </c>
      <c r="Z13" s="47">
        <f t="shared" si="6"/>
        <v>19957.84172059392</v>
      </c>
      <c r="AA13" s="48">
        <f t="shared" si="15"/>
        <v>22873.99240219392</v>
      </c>
      <c r="AB13" s="49">
        <f t="shared" si="7"/>
        <v>22873.99240219392</v>
      </c>
      <c r="AC13" s="50">
        <f t="shared" si="8"/>
        <v>0.261883837777528</v>
      </c>
      <c r="AD13" s="50">
        <f t="shared" si="16"/>
        <v>0.261883837777528</v>
      </c>
      <c r="AE13" s="158">
        <f t="shared" si="9"/>
        <v>0.03338694525236066</v>
      </c>
      <c r="AF13" s="159">
        <f t="shared" si="10"/>
        <v>0.22849689252516736</v>
      </c>
    </row>
    <row r="14" spans="1:32" s="6" customFormat="1" ht="13.5" customHeight="1">
      <c r="A14" s="9">
        <v>6</v>
      </c>
      <c r="B14" s="27" t="s">
        <v>25</v>
      </c>
      <c r="C14" s="16">
        <v>11200.52</v>
      </c>
      <c r="D14" s="5"/>
      <c r="E14" s="5">
        <f t="shared" si="11"/>
        <v>11200.52</v>
      </c>
      <c r="F14" s="5">
        <v>9</v>
      </c>
      <c r="G14" s="5">
        <v>1111.86</v>
      </c>
      <c r="H14" s="17">
        <v>3.23</v>
      </c>
      <c r="I14" s="147">
        <v>6.73</v>
      </c>
      <c r="J14" s="11">
        <f t="shared" si="12"/>
        <v>43095.6936</v>
      </c>
      <c r="K14" s="66">
        <f t="shared" si="13"/>
        <v>290034.017928</v>
      </c>
      <c r="L14" s="59">
        <f t="shared" si="14"/>
        <v>2.1578910170242094</v>
      </c>
      <c r="M14" s="25">
        <v>0.012</v>
      </c>
      <c r="N14" s="25">
        <v>0.012</v>
      </c>
      <c r="O14" s="29">
        <v>0.0649</v>
      </c>
      <c r="P14" s="11">
        <v>34.25</v>
      </c>
      <c r="Q14" s="23">
        <v>28.38</v>
      </c>
      <c r="R14" s="23">
        <v>3028.61</v>
      </c>
      <c r="S14" s="23">
        <v>28.72</v>
      </c>
      <c r="T14" s="23">
        <f t="shared" si="0"/>
        <v>225.276789</v>
      </c>
      <c r="U14" s="23">
        <f t="shared" si="1"/>
        <v>160.10783999999998</v>
      </c>
      <c r="V14" s="23">
        <f t="shared" si="2"/>
        <v>4543.860499199999</v>
      </c>
      <c r="W14" s="63">
        <f t="shared" si="3"/>
        <v>0.03380691625031694</v>
      </c>
      <c r="X14" s="47">
        <f t="shared" si="4"/>
        <v>160.10783999999998</v>
      </c>
      <c r="Y14" s="47">
        <f t="shared" si="5"/>
        <v>4598.297164799999</v>
      </c>
      <c r="Z14" s="47">
        <f t="shared" si="6"/>
        <v>31470.28292412576</v>
      </c>
      <c r="AA14" s="48">
        <f t="shared" si="15"/>
        <v>36068.58008892576</v>
      </c>
      <c r="AB14" s="49">
        <f t="shared" si="7"/>
        <v>36068.58008892576</v>
      </c>
      <c r="AC14" s="50">
        <f t="shared" si="8"/>
        <v>0.2683549520388767</v>
      </c>
      <c r="AD14" s="50">
        <f t="shared" si="16"/>
        <v>0.2683549520388767</v>
      </c>
      <c r="AE14" s="158">
        <f t="shared" si="9"/>
        <v>0.03421193216029255</v>
      </c>
      <c r="AF14" s="159">
        <f t="shared" si="10"/>
        <v>0.23414301987858419</v>
      </c>
    </row>
    <row r="15" spans="1:32" s="6" customFormat="1" ht="13.5" customHeight="1">
      <c r="A15" s="9">
        <v>7</v>
      </c>
      <c r="B15" s="27" t="s">
        <v>26</v>
      </c>
      <c r="C15" s="16">
        <v>2239.4</v>
      </c>
      <c r="D15" s="5"/>
      <c r="E15" s="5">
        <f t="shared" si="11"/>
        <v>2239.4</v>
      </c>
      <c r="F15" s="5">
        <v>9</v>
      </c>
      <c r="G15" s="5">
        <v>355</v>
      </c>
      <c r="H15" s="17">
        <v>3.23</v>
      </c>
      <c r="I15" s="147">
        <v>6.73</v>
      </c>
      <c r="J15" s="11">
        <f t="shared" si="12"/>
        <v>13759.800000000001</v>
      </c>
      <c r="K15" s="66">
        <f t="shared" si="13"/>
        <v>92603.45400000001</v>
      </c>
      <c r="L15" s="59">
        <f t="shared" si="14"/>
        <v>3.4459920067875327</v>
      </c>
      <c r="M15" s="25">
        <v>0.012</v>
      </c>
      <c r="N15" s="25">
        <v>0.012</v>
      </c>
      <c r="O15" s="29">
        <v>0.0649</v>
      </c>
      <c r="P15" s="11">
        <v>34.25</v>
      </c>
      <c r="Q15" s="23">
        <v>28.38</v>
      </c>
      <c r="R15" s="23">
        <v>3028.61</v>
      </c>
      <c r="S15" s="23">
        <v>28.72</v>
      </c>
      <c r="T15" s="23">
        <f t="shared" si="0"/>
        <v>225.276789</v>
      </c>
      <c r="U15" s="23">
        <f t="shared" si="1"/>
        <v>51.12</v>
      </c>
      <c r="V15" s="23">
        <f t="shared" si="2"/>
        <v>1450.7856</v>
      </c>
      <c r="W15" s="63">
        <f t="shared" si="3"/>
        <v>0.05398713941234259</v>
      </c>
      <c r="X15" s="47">
        <f t="shared" si="4"/>
        <v>51.12</v>
      </c>
      <c r="Y15" s="47">
        <f t="shared" si="5"/>
        <v>1468.1663999999998</v>
      </c>
      <c r="Z15" s="47">
        <f t="shared" si="6"/>
        <v>10047.983053679998</v>
      </c>
      <c r="AA15" s="48">
        <f t="shared" si="15"/>
        <v>11516.149453679998</v>
      </c>
      <c r="AB15" s="49">
        <f t="shared" si="7"/>
        <v>11516.14945368</v>
      </c>
      <c r="AC15" s="50">
        <f t="shared" si="8"/>
        <v>0.42854296737518977</v>
      </c>
      <c r="AD15" s="50">
        <f t="shared" si="16"/>
        <v>0.4285429673751897</v>
      </c>
      <c r="AE15" s="158">
        <f t="shared" si="9"/>
        <v>0.054633919799946404</v>
      </c>
      <c r="AF15" s="159">
        <f t="shared" si="10"/>
        <v>0.3739090475752433</v>
      </c>
    </row>
    <row r="16" spans="1:32" s="6" customFormat="1" ht="13.5" customHeight="1">
      <c r="A16" s="9">
        <v>8</v>
      </c>
      <c r="B16" s="27" t="s">
        <v>27</v>
      </c>
      <c r="C16" s="16">
        <v>7293.77</v>
      </c>
      <c r="D16" s="5"/>
      <c r="E16" s="5">
        <f t="shared" si="11"/>
        <v>7293.77</v>
      </c>
      <c r="F16" s="5">
        <v>9</v>
      </c>
      <c r="G16" s="5">
        <v>723.3</v>
      </c>
      <c r="H16" s="17">
        <v>3.23</v>
      </c>
      <c r="I16" s="147">
        <v>6.73</v>
      </c>
      <c r="J16" s="11">
        <f t="shared" si="12"/>
        <v>28035.108</v>
      </c>
      <c r="K16" s="66">
        <f t="shared" si="13"/>
        <v>188676.27684</v>
      </c>
      <c r="L16" s="59">
        <f>K16/E16/12</f>
        <v>2.1556784858859</v>
      </c>
      <c r="M16" s="25">
        <v>0.012</v>
      </c>
      <c r="N16" s="25">
        <v>0.012</v>
      </c>
      <c r="O16" s="29">
        <v>0.0649</v>
      </c>
      <c r="P16" s="11">
        <v>34.25</v>
      </c>
      <c r="Q16" s="23">
        <v>28.38</v>
      </c>
      <c r="R16" s="23">
        <v>3028.61</v>
      </c>
      <c r="S16" s="23">
        <v>28.72</v>
      </c>
      <c r="T16" s="23">
        <f t="shared" si="0"/>
        <v>225.276789</v>
      </c>
      <c r="U16" s="23">
        <f t="shared" si="1"/>
        <v>104.15519999999998</v>
      </c>
      <c r="V16" s="23">
        <f t="shared" si="2"/>
        <v>2955.9245759999994</v>
      </c>
      <c r="W16" s="63">
        <f t="shared" si="3"/>
        <v>0.03377225330658904</v>
      </c>
      <c r="X16" s="47">
        <f t="shared" si="4"/>
        <v>104.15519999999998</v>
      </c>
      <c r="Y16" s="47">
        <f t="shared" si="5"/>
        <v>2991.337343999999</v>
      </c>
      <c r="Z16" s="47">
        <f t="shared" si="6"/>
        <v>20472.411669652796</v>
      </c>
      <c r="AA16" s="48">
        <f t="shared" si="15"/>
        <v>23463.749013652796</v>
      </c>
      <c r="AB16" s="49">
        <f t="shared" si="7"/>
        <v>23463.749013652796</v>
      </c>
      <c r="AC16" s="50">
        <f t="shared" si="8"/>
        <v>0.2680798020508461</v>
      </c>
      <c r="AD16" s="50">
        <f t="shared" si="16"/>
        <v>0.26807980205084603</v>
      </c>
      <c r="AE16" s="158">
        <f t="shared" si="9"/>
        <v>0.034176853945216246</v>
      </c>
      <c r="AF16" s="159">
        <f t="shared" si="10"/>
        <v>0.23390294810562978</v>
      </c>
    </row>
    <row r="17" spans="1:32" s="6" customFormat="1" ht="13.5" customHeight="1">
      <c r="A17" s="9">
        <v>9</v>
      </c>
      <c r="B17" s="27" t="s">
        <v>28</v>
      </c>
      <c r="C17" s="16">
        <v>3812.53</v>
      </c>
      <c r="D17" s="5"/>
      <c r="E17" s="5">
        <f t="shared" si="11"/>
        <v>3812.53</v>
      </c>
      <c r="F17" s="5">
        <v>9</v>
      </c>
      <c r="G17" s="5">
        <v>300.4</v>
      </c>
      <c r="H17" s="17">
        <v>3.23</v>
      </c>
      <c r="I17" s="147">
        <v>6.73</v>
      </c>
      <c r="J17" s="11">
        <f t="shared" si="12"/>
        <v>11643.503999999999</v>
      </c>
      <c r="K17" s="66">
        <f t="shared" si="13"/>
        <v>78360.78192</v>
      </c>
      <c r="L17" s="59">
        <f t="shared" si="14"/>
        <v>1.712790498697715</v>
      </c>
      <c r="M17" s="25">
        <v>0.012</v>
      </c>
      <c r="N17" s="25">
        <v>0.012</v>
      </c>
      <c r="O17" s="29">
        <v>0.0649</v>
      </c>
      <c r="P17" s="11">
        <v>34.25</v>
      </c>
      <c r="Q17" s="23">
        <v>28.38</v>
      </c>
      <c r="R17" s="23">
        <v>3028.61</v>
      </c>
      <c r="S17" s="23">
        <v>28.72</v>
      </c>
      <c r="T17" s="23">
        <f t="shared" si="0"/>
        <v>225.276789</v>
      </c>
      <c r="U17" s="23">
        <f t="shared" si="1"/>
        <v>43.2576</v>
      </c>
      <c r="V17" s="23">
        <f t="shared" si="2"/>
        <v>1227.650688</v>
      </c>
      <c r="W17" s="63">
        <f t="shared" si="3"/>
        <v>0.0268336836693744</v>
      </c>
      <c r="X17" s="47">
        <f t="shared" si="4"/>
        <v>43.2576</v>
      </c>
      <c r="Y17" s="47">
        <f t="shared" si="5"/>
        <v>1242.358272</v>
      </c>
      <c r="Z17" s="47">
        <f t="shared" si="6"/>
        <v>8502.5749558464</v>
      </c>
      <c r="AA17" s="48">
        <f t="shared" si="15"/>
        <v>9744.933227846399</v>
      </c>
      <c r="AB17" s="49">
        <f t="shared" si="7"/>
        <v>9744.933227846399</v>
      </c>
      <c r="AC17" s="50">
        <f t="shared" si="8"/>
        <v>0.21300232889634962</v>
      </c>
      <c r="AD17" s="50">
        <f t="shared" si="16"/>
        <v>0.2130023288963496</v>
      </c>
      <c r="AE17" s="158">
        <f t="shared" si="9"/>
        <v>0.02715515838563893</v>
      </c>
      <c r="AF17" s="159">
        <f t="shared" si="10"/>
        <v>0.18584717051071067</v>
      </c>
    </row>
    <row r="18" spans="1:32" s="6" customFormat="1" ht="13.5" customHeight="1">
      <c r="A18" s="9">
        <v>10</v>
      </c>
      <c r="B18" s="27" t="s">
        <v>29</v>
      </c>
      <c r="C18" s="16">
        <v>10821.85</v>
      </c>
      <c r="D18" s="5">
        <v>67.1</v>
      </c>
      <c r="E18" s="5">
        <f t="shared" si="11"/>
        <v>10888.95</v>
      </c>
      <c r="F18" s="5">
        <v>9</v>
      </c>
      <c r="G18" s="5">
        <v>1098.54</v>
      </c>
      <c r="H18" s="17">
        <v>3.23</v>
      </c>
      <c r="I18" s="147">
        <v>6.73</v>
      </c>
      <c r="J18" s="11">
        <f t="shared" si="12"/>
        <v>42579.4104</v>
      </c>
      <c r="K18" s="66">
        <f t="shared" si="13"/>
        <v>286559.431992</v>
      </c>
      <c r="L18" s="59">
        <f t="shared" si="14"/>
        <v>2.193044569586599</v>
      </c>
      <c r="M18" s="25">
        <v>0.012</v>
      </c>
      <c r="N18" s="25">
        <v>0.012</v>
      </c>
      <c r="O18" s="29">
        <v>0.0649</v>
      </c>
      <c r="P18" s="11">
        <v>34.25</v>
      </c>
      <c r="Q18" s="23">
        <v>28.38</v>
      </c>
      <c r="R18" s="23">
        <v>3028.61</v>
      </c>
      <c r="S18" s="23">
        <v>28.72</v>
      </c>
      <c r="T18" s="23">
        <f t="shared" si="0"/>
        <v>225.276789</v>
      </c>
      <c r="U18" s="23">
        <f t="shared" si="1"/>
        <v>158.18976</v>
      </c>
      <c r="V18" s="23">
        <f t="shared" si="2"/>
        <v>4489.4253888</v>
      </c>
      <c r="W18" s="63">
        <f t="shared" si="3"/>
        <v>0.03435765453969391</v>
      </c>
      <c r="X18" s="47">
        <f t="shared" si="4"/>
        <v>158.18976</v>
      </c>
      <c r="Y18" s="47">
        <f t="shared" si="5"/>
        <v>4543.2099072</v>
      </c>
      <c r="Z18" s="47">
        <f t="shared" si="6"/>
        <v>31093.271278280645</v>
      </c>
      <c r="AA18" s="48">
        <f t="shared" si="15"/>
        <v>35636.48118548065</v>
      </c>
      <c r="AB18" s="49">
        <f t="shared" si="7"/>
        <v>35636.48118548064</v>
      </c>
      <c r="AC18" s="50">
        <f t="shared" si="8"/>
        <v>0.27272664172915845</v>
      </c>
      <c r="AD18" s="50">
        <f t="shared" si="16"/>
        <v>0.2727266417291585</v>
      </c>
      <c r="AE18" s="158">
        <f t="shared" si="9"/>
        <v>0.03476926844186078</v>
      </c>
      <c r="AF18" s="159">
        <f t="shared" si="10"/>
        <v>0.2379573732872977</v>
      </c>
    </row>
    <row r="19" spans="1:32" s="6" customFormat="1" ht="13.5" customHeight="1">
      <c r="A19" s="9">
        <v>11</v>
      </c>
      <c r="B19" s="8" t="s">
        <v>30</v>
      </c>
      <c r="C19" s="16">
        <v>12846.04</v>
      </c>
      <c r="D19" s="5">
        <v>1608.7</v>
      </c>
      <c r="E19" s="5">
        <f t="shared" si="11"/>
        <v>14454.740000000002</v>
      </c>
      <c r="F19" s="5">
        <v>9</v>
      </c>
      <c r="G19" s="5">
        <v>1555.2</v>
      </c>
      <c r="H19" s="17">
        <v>3.23</v>
      </c>
      <c r="I19" s="147">
        <v>6.73</v>
      </c>
      <c r="J19" s="11">
        <f t="shared" si="12"/>
        <v>60279.552</v>
      </c>
      <c r="K19" s="66">
        <f t="shared" si="13"/>
        <v>405681.38496000005</v>
      </c>
      <c r="L19" s="59">
        <f t="shared" si="14"/>
        <v>2.3388025021550027</v>
      </c>
      <c r="M19" s="25">
        <v>0.012</v>
      </c>
      <c r="N19" s="25">
        <v>0.012</v>
      </c>
      <c r="O19" s="29">
        <v>0.0649</v>
      </c>
      <c r="P19" s="11">
        <v>34.25</v>
      </c>
      <c r="Q19" s="23">
        <v>28.38</v>
      </c>
      <c r="R19" s="23">
        <v>3028.61</v>
      </c>
      <c r="S19" s="23">
        <v>28.38</v>
      </c>
      <c r="T19" s="23">
        <f t="shared" si="0"/>
        <v>224.936789</v>
      </c>
      <c r="U19" s="23">
        <f t="shared" si="1"/>
        <v>223.9488</v>
      </c>
      <c r="V19" s="23">
        <f t="shared" si="2"/>
        <v>6355.666944</v>
      </c>
      <c r="W19" s="63">
        <f t="shared" si="3"/>
        <v>0.036641192577659645</v>
      </c>
      <c r="X19" s="47">
        <f t="shared" si="4"/>
        <v>223.9488</v>
      </c>
      <c r="Y19" s="47">
        <f t="shared" si="5"/>
        <v>6355.666944</v>
      </c>
      <c r="Z19" s="47">
        <f t="shared" si="6"/>
        <v>44018.657028403206</v>
      </c>
      <c r="AA19" s="48">
        <f t="shared" si="15"/>
        <v>50374.3239724032</v>
      </c>
      <c r="AB19" s="49">
        <f t="shared" si="7"/>
        <v>50374.3239724032</v>
      </c>
      <c r="AC19" s="50">
        <f t="shared" si="8"/>
        <v>0.29041410160498216</v>
      </c>
      <c r="AD19" s="50">
        <f t="shared" si="16"/>
        <v>0.29041410160498216</v>
      </c>
      <c r="AE19" s="158">
        <f t="shared" si="9"/>
        <v>0.03664119257765963</v>
      </c>
      <c r="AF19" s="159">
        <f t="shared" si="10"/>
        <v>0.2537729090273225</v>
      </c>
    </row>
    <row r="20" spans="1:32" s="6" customFormat="1" ht="13.5" customHeight="1">
      <c r="A20" s="9">
        <v>12</v>
      </c>
      <c r="B20" s="8" t="s">
        <v>31</v>
      </c>
      <c r="C20" s="16">
        <v>7191.18</v>
      </c>
      <c r="D20" s="5"/>
      <c r="E20" s="5">
        <f t="shared" si="11"/>
        <v>7191.18</v>
      </c>
      <c r="F20" s="5">
        <v>9</v>
      </c>
      <c r="G20" s="5">
        <v>690.3</v>
      </c>
      <c r="H20" s="17">
        <v>3.23</v>
      </c>
      <c r="I20" s="147">
        <v>6.73</v>
      </c>
      <c r="J20" s="11">
        <f t="shared" si="12"/>
        <v>26756.028</v>
      </c>
      <c r="K20" s="66">
        <f t="shared" si="13"/>
        <v>180068.06844</v>
      </c>
      <c r="L20" s="59">
        <f t="shared" si="14"/>
        <v>2.0866773422442493</v>
      </c>
      <c r="M20" s="25">
        <v>0.012</v>
      </c>
      <c r="N20" s="25">
        <v>0.012</v>
      </c>
      <c r="O20" s="29">
        <v>0.0649</v>
      </c>
      <c r="P20" s="11">
        <v>34.25</v>
      </c>
      <c r="Q20" s="23">
        <v>28.38</v>
      </c>
      <c r="R20" s="23">
        <v>3028.61</v>
      </c>
      <c r="S20" s="23">
        <v>28.38</v>
      </c>
      <c r="T20" s="23">
        <f t="shared" si="0"/>
        <v>224.936789</v>
      </c>
      <c r="U20" s="23">
        <f t="shared" si="1"/>
        <v>99.4032</v>
      </c>
      <c r="V20" s="23">
        <f t="shared" si="2"/>
        <v>2821.0628159999997</v>
      </c>
      <c r="W20" s="63">
        <f t="shared" si="3"/>
        <v>0.032691236765037164</v>
      </c>
      <c r="X20" s="47">
        <f t="shared" si="4"/>
        <v>99.4032</v>
      </c>
      <c r="Y20" s="47">
        <f t="shared" si="5"/>
        <v>2821.0628159999997</v>
      </c>
      <c r="Z20" s="47">
        <f t="shared" si="6"/>
        <v>19538.373808324803</v>
      </c>
      <c r="AA20" s="48">
        <f t="shared" si="15"/>
        <v>22359.4366243248</v>
      </c>
      <c r="AB20" s="49">
        <f t="shared" si="7"/>
        <v>22359.4366243248</v>
      </c>
      <c r="AC20" s="50">
        <f t="shared" si="8"/>
        <v>0.25910718204250205</v>
      </c>
      <c r="AD20" s="50">
        <f t="shared" si="16"/>
        <v>0.2591071820425021</v>
      </c>
      <c r="AE20" s="158">
        <f t="shared" si="9"/>
        <v>0.032691236765037164</v>
      </c>
      <c r="AF20" s="159">
        <f t="shared" si="10"/>
        <v>0.22641594527746495</v>
      </c>
    </row>
    <row r="21" spans="1:32" s="6" customFormat="1" ht="13.5" customHeight="1">
      <c r="A21" s="9">
        <v>13</v>
      </c>
      <c r="B21" s="8" t="s">
        <v>32</v>
      </c>
      <c r="C21" s="16">
        <f>10684.05+68.2</f>
        <v>10752.25</v>
      </c>
      <c r="D21" s="5">
        <f>160.3-68.2</f>
        <v>92.10000000000001</v>
      </c>
      <c r="E21" s="5">
        <f t="shared" si="11"/>
        <v>10844.35</v>
      </c>
      <c r="F21" s="5">
        <v>9</v>
      </c>
      <c r="G21" s="5">
        <v>1083.1</v>
      </c>
      <c r="H21" s="17">
        <v>3.23</v>
      </c>
      <c r="I21" s="147">
        <v>6.73</v>
      </c>
      <c r="J21" s="11">
        <f t="shared" si="12"/>
        <v>41980.95599999999</v>
      </c>
      <c r="K21" s="66">
        <f t="shared" si="13"/>
        <v>282531.83387999993</v>
      </c>
      <c r="L21" s="59">
        <f t="shared" si="14"/>
        <v>2.1711139432054476</v>
      </c>
      <c r="M21" s="25">
        <v>0.012</v>
      </c>
      <c r="N21" s="25">
        <v>0.012</v>
      </c>
      <c r="O21" s="29">
        <v>0.0649</v>
      </c>
      <c r="P21" s="11">
        <v>34.25</v>
      </c>
      <c r="Q21" s="23">
        <v>28.38</v>
      </c>
      <c r="R21" s="23">
        <v>3028.61</v>
      </c>
      <c r="S21" s="23">
        <v>28.38</v>
      </c>
      <c r="T21" s="23">
        <f t="shared" si="0"/>
        <v>224.936789</v>
      </c>
      <c r="U21" s="23">
        <f t="shared" si="1"/>
        <v>155.9664</v>
      </c>
      <c r="V21" s="23">
        <f t="shared" si="2"/>
        <v>4426.326432</v>
      </c>
      <c r="W21" s="63">
        <f t="shared" si="3"/>
        <v>0.03401407516356443</v>
      </c>
      <c r="X21" s="47">
        <f t="shared" si="4"/>
        <v>155.9664</v>
      </c>
      <c r="Y21" s="47">
        <f t="shared" si="5"/>
        <v>4426.326432</v>
      </c>
      <c r="Z21" s="47">
        <f t="shared" si="6"/>
        <v>30656.2547758896</v>
      </c>
      <c r="AA21" s="48">
        <f t="shared" si="15"/>
        <v>35082.5812078896</v>
      </c>
      <c r="AB21" s="49">
        <f t="shared" si="7"/>
        <v>35082.5812078896</v>
      </c>
      <c r="AC21" s="50">
        <f t="shared" si="8"/>
        <v>0.2695918551126439</v>
      </c>
      <c r="AD21" s="50">
        <f t="shared" si="16"/>
        <v>0.2695918551126439</v>
      </c>
      <c r="AE21" s="158">
        <f t="shared" si="9"/>
        <v>0.03401407516356443</v>
      </c>
      <c r="AF21" s="159">
        <f t="shared" si="10"/>
        <v>0.23557777994907944</v>
      </c>
    </row>
    <row r="22" spans="1:32" s="6" customFormat="1" ht="13.5" customHeight="1">
      <c r="A22" s="9">
        <v>14</v>
      </c>
      <c r="B22" s="8" t="s">
        <v>33</v>
      </c>
      <c r="C22" s="16">
        <v>7393.91</v>
      </c>
      <c r="D22" s="5"/>
      <c r="E22" s="5">
        <f t="shared" si="11"/>
        <v>7393.91</v>
      </c>
      <c r="F22" s="5">
        <v>9</v>
      </c>
      <c r="G22" s="5">
        <v>794.4</v>
      </c>
      <c r="H22" s="17">
        <v>3.23</v>
      </c>
      <c r="I22" s="147">
        <v>6.73</v>
      </c>
      <c r="J22" s="11">
        <f t="shared" si="12"/>
        <v>30790.943999999996</v>
      </c>
      <c r="K22" s="66">
        <f t="shared" si="13"/>
        <v>207223.05312</v>
      </c>
      <c r="L22" s="59">
        <f t="shared" si="14"/>
        <v>2.3355150062686723</v>
      </c>
      <c r="M22" s="25">
        <v>0.012</v>
      </c>
      <c r="N22" s="25">
        <v>0.012</v>
      </c>
      <c r="O22" s="29">
        <v>0.0649</v>
      </c>
      <c r="P22" s="11">
        <v>34.25</v>
      </c>
      <c r="Q22" s="23">
        <v>28.38</v>
      </c>
      <c r="R22" s="23">
        <v>3028.61</v>
      </c>
      <c r="S22" s="23">
        <v>28.38</v>
      </c>
      <c r="T22" s="23">
        <f t="shared" si="0"/>
        <v>224.936789</v>
      </c>
      <c r="U22" s="23">
        <f t="shared" si="1"/>
        <v>114.39359999999999</v>
      </c>
      <c r="V22" s="23">
        <f t="shared" si="2"/>
        <v>3246.4903679999998</v>
      </c>
      <c r="W22" s="63">
        <f t="shared" si="3"/>
        <v>0.03658968854097494</v>
      </c>
      <c r="X22" s="47">
        <f t="shared" si="4"/>
        <v>114.39359999999999</v>
      </c>
      <c r="Y22" s="47">
        <f t="shared" si="5"/>
        <v>3246.4903679999998</v>
      </c>
      <c r="Z22" s="47">
        <f t="shared" si="6"/>
        <v>22484.838698150397</v>
      </c>
      <c r="AA22" s="48">
        <f t="shared" si="15"/>
        <v>25731.329066150396</v>
      </c>
      <c r="AB22" s="49">
        <f t="shared" si="7"/>
        <v>25731.3290661504</v>
      </c>
      <c r="AC22" s="50">
        <f t="shared" si="8"/>
        <v>0.29000588621976736</v>
      </c>
      <c r="AD22" s="50">
        <f t="shared" si="16"/>
        <v>0.2900058862197673</v>
      </c>
      <c r="AE22" s="158">
        <f t="shared" si="9"/>
        <v>0.03658968854097493</v>
      </c>
      <c r="AF22" s="159">
        <f t="shared" si="10"/>
        <v>0.25341619767879237</v>
      </c>
    </row>
    <row r="23" spans="1:32" s="6" customFormat="1" ht="13.5" customHeight="1">
      <c r="A23" s="9">
        <v>15</v>
      </c>
      <c r="B23" s="8" t="s">
        <v>34</v>
      </c>
      <c r="C23" s="16">
        <v>10657.85</v>
      </c>
      <c r="D23" s="5">
        <v>110</v>
      </c>
      <c r="E23" s="5">
        <f t="shared" si="11"/>
        <v>10767.85</v>
      </c>
      <c r="F23" s="5">
        <v>9</v>
      </c>
      <c r="G23" s="5">
        <v>1061.5</v>
      </c>
      <c r="H23" s="17">
        <v>3.23</v>
      </c>
      <c r="I23" s="147">
        <v>6.73</v>
      </c>
      <c r="J23" s="11">
        <f t="shared" si="12"/>
        <v>41143.74</v>
      </c>
      <c r="K23" s="66">
        <f t="shared" si="13"/>
        <v>276897.3702</v>
      </c>
      <c r="L23" s="59">
        <f t="shared" si="14"/>
        <v>2.142932976406618</v>
      </c>
      <c r="M23" s="25">
        <v>0.012</v>
      </c>
      <c r="N23" s="25">
        <v>0.012</v>
      </c>
      <c r="O23" s="29">
        <v>0.0649</v>
      </c>
      <c r="P23" s="11">
        <v>34.25</v>
      </c>
      <c r="Q23" s="23">
        <v>28.38</v>
      </c>
      <c r="R23" s="23">
        <v>3028.61</v>
      </c>
      <c r="S23" s="23">
        <v>28.38</v>
      </c>
      <c r="T23" s="23">
        <f t="shared" si="0"/>
        <v>224.936789</v>
      </c>
      <c r="U23" s="23">
        <f t="shared" si="1"/>
        <v>152.856</v>
      </c>
      <c r="V23" s="23">
        <f t="shared" si="2"/>
        <v>4338.05328</v>
      </c>
      <c r="W23" s="63">
        <f t="shared" si="3"/>
        <v>0.033572573912155165</v>
      </c>
      <c r="X23" s="47">
        <f t="shared" si="4"/>
        <v>152.856</v>
      </c>
      <c r="Y23" s="47">
        <f t="shared" si="5"/>
        <v>4338.05328</v>
      </c>
      <c r="Z23" s="47">
        <f t="shared" si="6"/>
        <v>30044.884539384002</v>
      </c>
      <c r="AA23" s="48">
        <f t="shared" si="15"/>
        <v>34382.937819384</v>
      </c>
      <c r="AB23" s="49">
        <f t="shared" si="7"/>
        <v>34382.937819384</v>
      </c>
      <c r="AC23" s="50">
        <f t="shared" si="8"/>
        <v>0.2660925642799631</v>
      </c>
      <c r="AD23" s="50">
        <f t="shared" si="16"/>
        <v>0.2660925642799631</v>
      </c>
      <c r="AE23" s="158">
        <f t="shared" si="9"/>
        <v>0.033572573912155165</v>
      </c>
      <c r="AF23" s="159">
        <f t="shared" si="10"/>
        <v>0.2325199903678079</v>
      </c>
    </row>
    <row r="24" spans="1:32" s="6" customFormat="1" ht="13.5" customHeight="1">
      <c r="A24" s="9">
        <v>16</v>
      </c>
      <c r="B24" s="8" t="s">
        <v>35</v>
      </c>
      <c r="C24" s="16">
        <v>12298.69</v>
      </c>
      <c r="D24" s="5"/>
      <c r="E24" s="5">
        <f t="shared" si="11"/>
        <v>12298.69</v>
      </c>
      <c r="F24" s="5">
        <v>9</v>
      </c>
      <c r="G24" s="5">
        <v>1636.2</v>
      </c>
      <c r="H24" s="17">
        <v>3.23</v>
      </c>
      <c r="I24" s="147">
        <v>6.73</v>
      </c>
      <c r="J24" s="11">
        <f t="shared" si="12"/>
        <v>63419.11200000001</v>
      </c>
      <c r="K24" s="66">
        <f t="shared" si="13"/>
        <v>426810.6237600001</v>
      </c>
      <c r="L24" s="59">
        <f t="shared" si="14"/>
        <v>2.8919789001918095</v>
      </c>
      <c r="M24" s="25">
        <v>0.012</v>
      </c>
      <c r="N24" s="25">
        <v>0.012</v>
      </c>
      <c r="O24" s="29">
        <v>0.0649</v>
      </c>
      <c r="P24" s="11">
        <v>34.25</v>
      </c>
      <c r="Q24" s="23">
        <v>28.38</v>
      </c>
      <c r="R24" s="23">
        <v>3028.61</v>
      </c>
      <c r="S24" s="23">
        <v>28.38</v>
      </c>
      <c r="T24" s="23">
        <f t="shared" si="0"/>
        <v>224.936789</v>
      </c>
      <c r="U24" s="23">
        <f t="shared" si="1"/>
        <v>235.6128</v>
      </c>
      <c r="V24" s="23">
        <f t="shared" si="2"/>
        <v>6686.691263999999</v>
      </c>
      <c r="W24" s="63">
        <f t="shared" si="3"/>
        <v>0.04530761178629593</v>
      </c>
      <c r="X24" s="47">
        <f t="shared" si="4"/>
        <v>235.6128</v>
      </c>
      <c r="Y24" s="47">
        <f t="shared" si="5"/>
        <v>6686.691263999999</v>
      </c>
      <c r="Z24" s="47">
        <f t="shared" si="6"/>
        <v>46311.295415299195</v>
      </c>
      <c r="AA24" s="48">
        <f t="shared" si="15"/>
        <v>52997.986679299196</v>
      </c>
      <c r="AB24" s="49">
        <f t="shared" si="7"/>
        <v>52997.986679299196</v>
      </c>
      <c r="AC24" s="50">
        <f t="shared" si="8"/>
        <v>0.3591031963519366</v>
      </c>
      <c r="AD24" s="50">
        <f t="shared" si="16"/>
        <v>0.3353076117862959</v>
      </c>
      <c r="AE24" s="158">
        <f t="shared" si="9"/>
        <v>0.045307611786295936</v>
      </c>
      <c r="AF24" s="159">
        <v>0.29</v>
      </c>
    </row>
    <row r="25" spans="1:32" s="6" customFormat="1" ht="15.75" customHeight="1">
      <c r="A25" s="9">
        <v>17</v>
      </c>
      <c r="B25" s="8" t="s">
        <v>36</v>
      </c>
      <c r="C25" s="16">
        <f>6025.6+2139.89</f>
        <v>8165.49</v>
      </c>
      <c r="D25" s="5"/>
      <c r="E25" s="5">
        <f t="shared" si="11"/>
        <v>8165.49</v>
      </c>
      <c r="F25" s="5">
        <v>9</v>
      </c>
      <c r="G25" s="5">
        <v>1063</v>
      </c>
      <c r="H25" s="17">
        <v>3.23</v>
      </c>
      <c r="I25" s="147">
        <v>6.73</v>
      </c>
      <c r="J25" s="11">
        <f t="shared" si="12"/>
        <v>41201.88</v>
      </c>
      <c r="K25" s="66">
        <f t="shared" si="13"/>
        <v>277288.6524</v>
      </c>
      <c r="L25" s="59">
        <f t="shared" si="14"/>
        <v>2.829883779173081</v>
      </c>
      <c r="M25" s="25">
        <v>0.012</v>
      </c>
      <c r="N25" s="25">
        <v>0.012</v>
      </c>
      <c r="O25" s="29">
        <v>0.0649</v>
      </c>
      <c r="P25" s="11">
        <v>34.25</v>
      </c>
      <c r="Q25" s="23">
        <v>28.38</v>
      </c>
      <c r="R25" s="23">
        <v>3028.61</v>
      </c>
      <c r="S25" s="23">
        <v>28.38</v>
      </c>
      <c r="T25" s="23">
        <f t="shared" si="0"/>
        <v>224.936789</v>
      </c>
      <c r="U25" s="23">
        <f t="shared" si="1"/>
        <v>153.072</v>
      </c>
      <c r="V25" s="23">
        <f t="shared" si="2"/>
        <v>4344.18336</v>
      </c>
      <c r="W25" s="63">
        <f t="shared" si="3"/>
        <v>0.04433478946150201</v>
      </c>
      <c r="X25" s="47">
        <f t="shared" si="4"/>
        <v>153.072</v>
      </c>
      <c r="Y25" s="47">
        <f t="shared" si="5"/>
        <v>4344.18336</v>
      </c>
      <c r="Z25" s="47">
        <f t="shared" si="6"/>
        <v>30087.340805808002</v>
      </c>
      <c r="AA25" s="48">
        <f t="shared" si="15"/>
        <v>34431.524165808005</v>
      </c>
      <c r="AB25" s="49">
        <f t="shared" si="7"/>
        <v>34431.524165808005</v>
      </c>
      <c r="AC25" s="50">
        <f t="shared" si="8"/>
        <v>0.3513927125602996</v>
      </c>
      <c r="AD25" s="50">
        <f t="shared" si="16"/>
        <v>0.35139271256029947</v>
      </c>
      <c r="AE25" s="158">
        <f t="shared" si="9"/>
        <v>0.044334789461501996</v>
      </c>
      <c r="AF25" s="159">
        <f>PRODUCT(Z25,1/12,1/E25)</f>
        <v>0.3070579230987975</v>
      </c>
    </row>
    <row r="26" spans="1:32" s="6" customFormat="1" ht="13.5" customHeight="1">
      <c r="A26" s="9">
        <v>18</v>
      </c>
      <c r="B26" s="8" t="s">
        <v>37</v>
      </c>
      <c r="C26" s="16">
        <v>7295.58</v>
      </c>
      <c r="D26" s="5"/>
      <c r="E26" s="5">
        <f t="shared" si="11"/>
        <v>7295.58</v>
      </c>
      <c r="F26" s="5">
        <v>9</v>
      </c>
      <c r="G26" s="5">
        <v>698.6</v>
      </c>
      <c r="H26" s="17">
        <v>3.23</v>
      </c>
      <c r="I26" s="147">
        <v>6.73</v>
      </c>
      <c r="J26" s="11">
        <f t="shared" si="12"/>
        <v>27077.736</v>
      </c>
      <c r="K26" s="66">
        <f t="shared" si="13"/>
        <v>182233.16328</v>
      </c>
      <c r="L26" s="59">
        <f t="shared" si="14"/>
        <v>2.081547586346802</v>
      </c>
      <c r="M26" s="25">
        <v>0.012</v>
      </c>
      <c r="N26" s="25">
        <v>0.012</v>
      </c>
      <c r="O26" s="29">
        <v>0.0649</v>
      </c>
      <c r="P26" s="11">
        <v>34.25</v>
      </c>
      <c r="Q26" s="23">
        <v>28.38</v>
      </c>
      <c r="R26" s="23">
        <v>3028.61</v>
      </c>
      <c r="S26" s="23">
        <v>28.38</v>
      </c>
      <c r="T26" s="23">
        <f t="shared" si="0"/>
        <v>224.936789</v>
      </c>
      <c r="U26" s="23">
        <f t="shared" si="1"/>
        <v>100.5984</v>
      </c>
      <c r="V26" s="23">
        <f t="shared" si="2"/>
        <v>2854.982592</v>
      </c>
      <c r="W26" s="63">
        <f t="shared" si="3"/>
        <v>0.03261087069156941</v>
      </c>
      <c r="X26" s="47">
        <f t="shared" si="4"/>
        <v>100.5984</v>
      </c>
      <c r="Y26" s="47">
        <f t="shared" si="5"/>
        <v>2854.982592</v>
      </c>
      <c r="Z26" s="47">
        <f t="shared" si="6"/>
        <v>19773.2984825376</v>
      </c>
      <c r="AA26" s="48">
        <f t="shared" si="15"/>
        <v>22628.2810745376</v>
      </c>
      <c r="AB26" s="49">
        <f t="shared" si="7"/>
        <v>22628.2810745376</v>
      </c>
      <c r="AC26" s="50">
        <f t="shared" si="8"/>
        <v>0.25847020929724573</v>
      </c>
      <c r="AD26" s="50">
        <f t="shared" si="16"/>
        <v>0.25847020929724573</v>
      </c>
      <c r="AE26" s="158">
        <f t="shared" si="9"/>
        <v>0.03261087069156941</v>
      </c>
      <c r="AF26" s="159">
        <f>PRODUCT(Z26,1/12,1/E26)</f>
        <v>0.2258593386056763</v>
      </c>
    </row>
    <row r="27" spans="1:32" s="6" customFormat="1" ht="14.25" customHeight="1">
      <c r="A27" s="9">
        <v>19</v>
      </c>
      <c r="B27" s="8" t="s">
        <v>38</v>
      </c>
      <c r="C27" s="16">
        <v>10842.3</v>
      </c>
      <c r="D27" s="5"/>
      <c r="E27" s="5">
        <f t="shared" si="11"/>
        <v>10842.3</v>
      </c>
      <c r="F27" s="5">
        <v>9</v>
      </c>
      <c r="G27" s="5">
        <v>1083.4</v>
      </c>
      <c r="H27" s="17">
        <v>3.23</v>
      </c>
      <c r="I27" s="147">
        <v>6.73</v>
      </c>
      <c r="J27" s="11">
        <f t="shared" si="12"/>
        <v>41992.584</v>
      </c>
      <c r="K27" s="66">
        <f t="shared" si="13"/>
        <v>282610.09032</v>
      </c>
      <c r="L27" s="59">
        <f t="shared" si="14"/>
        <v>2.1721259197771694</v>
      </c>
      <c r="M27" s="25">
        <v>0.012</v>
      </c>
      <c r="N27" s="25">
        <v>0.012</v>
      </c>
      <c r="O27" s="29">
        <v>0.0649</v>
      </c>
      <c r="P27" s="11">
        <v>34.25</v>
      </c>
      <c r="Q27" s="23">
        <v>28.38</v>
      </c>
      <c r="R27" s="23">
        <v>3028.61</v>
      </c>
      <c r="S27" s="23">
        <v>28.38</v>
      </c>
      <c r="T27" s="23">
        <f t="shared" si="0"/>
        <v>224.936789</v>
      </c>
      <c r="U27" s="23">
        <f t="shared" si="1"/>
        <v>156.00960000000003</v>
      </c>
      <c r="V27" s="23">
        <f t="shared" si="2"/>
        <v>4427.552448000001</v>
      </c>
      <c r="W27" s="63">
        <f t="shared" si="3"/>
        <v>0.03402992944301487</v>
      </c>
      <c r="X27" s="47">
        <f t="shared" si="4"/>
        <v>156.00960000000003</v>
      </c>
      <c r="Y27" s="47">
        <f t="shared" si="5"/>
        <v>4427.552448000001</v>
      </c>
      <c r="Z27" s="47">
        <f t="shared" si="6"/>
        <v>30664.746029174406</v>
      </c>
      <c r="AA27" s="48">
        <f t="shared" si="15"/>
        <v>35092.29847717441</v>
      </c>
      <c r="AB27" s="49">
        <f t="shared" si="7"/>
        <v>35092.29847717441</v>
      </c>
      <c r="AC27" s="50">
        <f t="shared" si="8"/>
        <v>0.2697175144048035</v>
      </c>
      <c r="AD27" s="50">
        <f t="shared" si="16"/>
        <v>0.26971751440480346</v>
      </c>
      <c r="AE27" s="158">
        <f t="shared" si="9"/>
        <v>0.03402992944301487</v>
      </c>
      <c r="AF27" s="159">
        <f>PRODUCT(Z27,1/12,1/E27)</f>
        <v>0.2356875849617886</v>
      </c>
    </row>
    <row r="28" spans="1:32" s="6" customFormat="1" ht="14.25" customHeight="1">
      <c r="A28" s="9">
        <v>20</v>
      </c>
      <c r="B28" s="8" t="s">
        <v>39</v>
      </c>
      <c r="C28" s="16">
        <v>10781.4</v>
      </c>
      <c r="D28" s="5"/>
      <c r="E28" s="5">
        <f t="shared" si="11"/>
        <v>10781.4</v>
      </c>
      <c r="F28" s="11">
        <v>9</v>
      </c>
      <c r="G28" s="11">
        <v>1083.4</v>
      </c>
      <c r="H28" s="17">
        <v>3.23</v>
      </c>
      <c r="I28" s="147">
        <v>6.73</v>
      </c>
      <c r="J28" s="11">
        <f t="shared" si="12"/>
        <v>41992.584</v>
      </c>
      <c r="K28" s="66">
        <f t="shared" si="13"/>
        <v>282610.09032</v>
      </c>
      <c r="L28" s="59">
        <f t="shared" si="14"/>
        <v>2.184395427309997</v>
      </c>
      <c r="M28" s="25">
        <v>0.012</v>
      </c>
      <c r="N28" s="25">
        <v>0.012</v>
      </c>
      <c r="O28" s="29">
        <v>0.0649</v>
      </c>
      <c r="P28" s="11">
        <v>34.25</v>
      </c>
      <c r="Q28" s="23">
        <v>28.38</v>
      </c>
      <c r="R28" s="23">
        <v>3028.61</v>
      </c>
      <c r="S28" s="23">
        <v>28.38</v>
      </c>
      <c r="T28" s="23">
        <f t="shared" si="0"/>
        <v>224.936789</v>
      </c>
      <c r="U28" s="23">
        <f t="shared" si="1"/>
        <v>156.00960000000003</v>
      </c>
      <c r="V28" s="23">
        <f t="shared" si="2"/>
        <v>4427.552448000001</v>
      </c>
      <c r="W28" s="63">
        <f t="shared" si="3"/>
        <v>0.03422215148310981</v>
      </c>
      <c r="X28" s="47">
        <f t="shared" si="4"/>
        <v>156.00960000000003</v>
      </c>
      <c r="Y28" s="47">
        <f t="shared" si="5"/>
        <v>4427.552448000001</v>
      </c>
      <c r="Z28" s="47">
        <f t="shared" si="6"/>
        <v>30664.746029174406</v>
      </c>
      <c r="AA28" s="48">
        <f t="shared" si="15"/>
        <v>35092.29847717441</v>
      </c>
      <c r="AB28" s="49">
        <f t="shared" si="7"/>
        <v>35092.29847717441</v>
      </c>
      <c r="AC28" s="50">
        <f t="shared" si="8"/>
        <v>0.2712410453587847</v>
      </c>
      <c r="AD28" s="50">
        <f t="shared" si="16"/>
        <v>0.2712410453587846</v>
      </c>
      <c r="AE28" s="158">
        <f t="shared" si="9"/>
        <v>0.03422215148310981</v>
      </c>
      <c r="AF28" s="159">
        <f>PRODUCT(Z28,1/12,1/E28)</f>
        <v>0.23701889387567482</v>
      </c>
    </row>
    <row r="29" spans="1:32" s="6" customFormat="1" ht="14.25" customHeight="1">
      <c r="A29" s="128" t="s">
        <v>0</v>
      </c>
      <c r="B29" s="129"/>
      <c r="C29" s="19">
        <f>SUM(C9:C28)</f>
        <v>172326.75999999998</v>
      </c>
      <c r="D29" s="19">
        <f>SUM(D9:D28)</f>
        <v>3143.82</v>
      </c>
      <c r="E29" s="19">
        <f>SUM(E9:E28)</f>
        <v>175470.58</v>
      </c>
      <c r="F29" s="19"/>
      <c r="G29" s="19">
        <f>SUM(G9:G28)</f>
        <v>18285.600000000002</v>
      </c>
      <c r="H29" s="20"/>
      <c r="I29" s="148"/>
      <c r="J29" s="19">
        <f>SUM(J9:J28)</f>
        <v>708749.8560000001</v>
      </c>
      <c r="K29" s="37">
        <f>SUM(K9:K28)</f>
        <v>4769886.53088</v>
      </c>
      <c r="L29" s="60"/>
      <c r="M29" s="22"/>
      <c r="N29" s="22"/>
      <c r="O29" s="29"/>
      <c r="P29" s="22"/>
      <c r="Q29" s="22"/>
      <c r="R29" s="22"/>
      <c r="S29" s="22"/>
      <c r="T29" s="22"/>
      <c r="U29" s="19">
        <f>SUM(U9:U28)</f>
        <v>2633.1263999999996</v>
      </c>
      <c r="V29" s="19">
        <f>SUM(V9:V28)</f>
        <v>74728.127232</v>
      </c>
      <c r="W29" s="64"/>
      <c r="X29" s="51">
        <f>SUM(X9:X28)</f>
        <v>2633.1263999999996</v>
      </c>
      <c r="Y29" s="51"/>
      <c r="Z29" s="51"/>
      <c r="AA29" s="52"/>
      <c r="AB29" s="53">
        <f>SUM(AB9:AB28)</f>
        <v>592655.9844871296</v>
      </c>
      <c r="AC29" s="54"/>
      <c r="AD29" s="54"/>
      <c r="AE29" s="160"/>
      <c r="AF29" s="161"/>
    </row>
    <row r="30" spans="1:32" s="6" customFormat="1" ht="14.25" customHeight="1" hidden="1">
      <c r="A30" s="80" t="s">
        <v>19</v>
      </c>
      <c r="B30" s="80" t="s">
        <v>18</v>
      </c>
      <c r="C30" s="80" t="s">
        <v>17</v>
      </c>
      <c r="D30" s="80"/>
      <c r="E30" s="80"/>
      <c r="F30" s="96" t="s">
        <v>51</v>
      </c>
      <c r="G30" s="96" t="s">
        <v>50</v>
      </c>
      <c r="H30" s="112" t="s">
        <v>57</v>
      </c>
      <c r="I30" s="125" t="s">
        <v>49</v>
      </c>
      <c r="J30" s="125" t="s">
        <v>55</v>
      </c>
      <c r="K30" s="125" t="s">
        <v>56</v>
      </c>
      <c r="L30" s="125" t="s">
        <v>64</v>
      </c>
      <c r="M30" s="117"/>
      <c r="N30" s="118"/>
      <c r="O30" s="29"/>
      <c r="P30" s="120" t="s">
        <v>62</v>
      </c>
      <c r="Q30" s="120" t="s">
        <v>52</v>
      </c>
      <c r="R30" s="30"/>
      <c r="S30" s="30"/>
      <c r="T30" s="30"/>
      <c r="U30" s="112" t="s">
        <v>58</v>
      </c>
      <c r="V30" s="136" t="s">
        <v>59</v>
      </c>
      <c r="W30" s="138" t="s">
        <v>69</v>
      </c>
      <c r="X30" s="107" t="s">
        <v>60</v>
      </c>
      <c r="Y30" s="107"/>
      <c r="Z30" s="107"/>
      <c r="AA30" s="55"/>
      <c r="AB30" s="104" t="s">
        <v>61</v>
      </c>
      <c r="AC30" s="102" t="s">
        <v>70</v>
      </c>
      <c r="AD30" s="41"/>
      <c r="AE30" s="150" t="s">
        <v>67</v>
      </c>
      <c r="AF30" s="151" t="s">
        <v>68</v>
      </c>
    </row>
    <row r="31" spans="1:32" s="6" customFormat="1" ht="33.75" customHeight="1" hidden="1">
      <c r="A31" s="134"/>
      <c r="B31" s="135"/>
      <c r="C31" s="80"/>
      <c r="D31" s="80"/>
      <c r="E31" s="80"/>
      <c r="F31" s="140"/>
      <c r="G31" s="140"/>
      <c r="H31" s="113"/>
      <c r="I31" s="126"/>
      <c r="J31" s="126"/>
      <c r="K31" s="126"/>
      <c r="L31" s="126"/>
      <c r="M31" s="119"/>
      <c r="N31" s="84"/>
      <c r="O31" s="29"/>
      <c r="P31" s="121"/>
      <c r="Q31" s="121"/>
      <c r="R31" s="32"/>
      <c r="S31" s="32"/>
      <c r="T31" s="32"/>
      <c r="U31" s="113"/>
      <c r="V31" s="137"/>
      <c r="W31" s="138"/>
      <c r="X31" s="108"/>
      <c r="Y31" s="108"/>
      <c r="Z31" s="108"/>
      <c r="AA31" s="56"/>
      <c r="AB31" s="105"/>
      <c r="AC31" s="102"/>
      <c r="AD31" s="41"/>
      <c r="AE31" s="152"/>
      <c r="AF31" s="153"/>
    </row>
    <row r="32" spans="1:32" s="6" customFormat="1" ht="13.5" customHeight="1" hidden="1">
      <c r="A32" s="134"/>
      <c r="B32" s="135"/>
      <c r="C32" s="80" t="s">
        <v>46</v>
      </c>
      <c r="D32" s="80" t="s">
        <v>47</v>
      </c>
      <c r="E32" s="130" t="s">
        <v>0</v>
      </c>
      <c r="F32" s="140"/>
      <c r="G32" s="140"/>
      <c r="H32" s="113"/>
      <c r="I32" s="126"/>
      <c r="J32" s="126"/>
      <c r="K32" s="126"/>
      <c r="L32" s="126"/>
      <c r="M32" s="89" t="s">
        <v>53</v>
      </c>
      <c r="N32" s="89" t="s">
        <v>54</v>
      </c>
      <c r="O32" s="29"/>
      <c r="P32" s="121"/>
      <c r="Q32" s="121"/>
      <c r="R32" s="32"/>
      <c r="S32" s="32"/>
      <c r="T32" s="32"/>
      <c r="U32" s="113"/>
      <c r="V32" s="137"/>
      <c r="W32" s="138"/>
      <c r="X32" s="108"/>
      <c r="Y32" s="108"/>
      <c r="Z32" s="108"/>
      <c r="AA32" s="56"/>
      <c r="AB32" s="105"/>
      <c r="AC32" s="102"/>
      <c r="AD32" s="41"/>
      <c r="AE32" s="152"/>
      <c r="AF32" s="153"/>
    </row>
    <row r="33" spans="1:32" s="6" customFormat="1" ht="102" customHeight="1" hidden="1">
      <c r="A33" s="134"/>
      <c r="B33" s="135"/>
      <c r="C33" s="80"/>
      <c r="D33" s="80"/>
      <c r="E33" s="130"/>
      <c r="F33" s="140"/>
      <c r="G33" s="140"/>
      <c r="H33" s="114"/>
      <c r="I33" s="127"/>
      <c r="J33" s="127"/>
      <c r="K33" s="127"/>
      <c r="L33" s="127"/>
      <c r="M33" s="91"/>
      <c r="N33" s="91"/>
      <c r="O33" s="29"/>
      <c r="P33" s="121"/>
      <c r="Q33" s="121"/>
      <c r="R33" s="34"/>
      <c r="S33" s="34"/>
      <c r="T33" s="34"/>
      <c r="U33" s="114"/>
      <c r="V33" s="137"/>
      <c r="W33" s="139"/>
      <c r="X33" s="109"/>
      <c r="Y33" s="109"/>
      <c r="Z33" s="109"/>
      <c r="AA33" s="57"/>
      <c r="AB33" s="106"/>
      <c r="AC33" s="103"/>
      <c r="AD33" s="42"/>
      <c r="AE33" s="154"/>
      <c r="AF33" s="155"/>
    </row>
    <row r="34" spans="1:32" s="6" customFormat="1" ht="13.5" customHeight="1">
      <c r="A34" s="122" t="s">
        <v>2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4"/>
      <c r="M34" s="22"/>
      <c r="N34" s="22"/>
      <c r="O34" s="29"/>
      <c r="P34" s="22"/>
      <c r="Q34" s="22"/>
      <c r="R34" s="22"/>
      <c r="S34" s="22"/>
      <c r="T34" s="22"/>
      <c r="U34" s="22"/>
      <c r="V34" s="28"/>
      <c r="W34" s="64"/>
      <c r="X34" s="43"/>
      <c r="Y34" s="43"/>
      <c r="Z34" s="43"/>
      <c r="AA34" s="44"/>
      <c r="AB34" s="58"/>
      <c r="AC34" s="54"/>
      <c r="AD34" s="54"/>
      <c r="AE34" s="160"/>
      <c r="AF34" s="161"/>
    </row>
    <row r="35" spans="1:32" s="6" customFormat="1" ht="13.5" customHeight="1">
      <c r="A35" s="9">
        <v>21</v>
      </c>
      <c r="B35" s="8" t="s">
        <v>40</v>
      </c>
      <c r="C35" s="16">
        <v>3576.7</v>
      </c>
      <c r="D35" s="5"/>
      <c r="E35" s="5">
        <f>C35+D35</f>
        <v>3576.7</v>
      </c>
      <c r="F35" s="5">
        <v>14</v>
      </c>
      <c r="G35" s="5">
        <v>950.8</v>
      </c>
      <c r="H35" s="17">
        <v>3.23</v>
      </c>
      <c r="I35" s="147">
        <v>5.05</v>
      </c>
      <c r="J35" s="11">
        <f>H35*G35*12</f>
        <v>36853.008</v>
      </c>
      <c r="K35" s="66">
        <f>J35*I35</f>
        <v>186107.6904</v>
      </c>
      <c r="L35" s="59">
        <f>K35/E35/12</f>
        <v>4.336112673693628</v>
      </c>
      <c r="M35" s="9">
        <v>0.007</v>
      </c>
      <c r="N35" s="9">
        <v>0.007</v>
      </c>
      <c r="O35" s="29">
        <v>0.0649</v>
      </c>
      <c r="P35" s="11">
        <v>34.25</v>
      </c>
      <c r="Q35" s="23">
        <v>28.38</v>
      </c>
      <c r="R35" s="23">
        <v>3028.61</v>
      </c>
      <c r="S35" s="23">
        <v>28.38</v>
      </c>
      <c r="T35" s="23">
        <f>SUM(O35*R35,S35)</f>
        <v>224.936789</v>
      </c>
      <c r="U35" s="23">
        <f>M35*G35*12</f>
        <v>79.8672</v>
      </c>
      <c r="V35" s="23">
        <f>U35*Q35</f>
        <v>2266.631136</v>
      </c>
      <c r="W35" s="63">
        <f>V35/12/E35</f>
        <v>0.05281011211451898</v>
      </c>
      <c r="X35" s="47">
        <f>N35*G35*12</f>
        <v>79.8672</v>
      </c>
      <c r="Y35" s="47">
        <f>PRODUCT(X35,S35)</f>
        <v>2266.631136</v>
      </c>
      <c r="Z35" s="47">
        <f>PRODUCT(X35,R35,O35)</f>
        <v>15698.4403784208</v>
      </c>
      <c r="AA35" s="48">
        <f>SUM(Y35:Z35)</f>
        <v>17965.0715144208</v>
      </c>
      <c r="AB35" s="49">
        <f>X35*T35</f>
        <v>17965.0715144208</v>
      </c>
      <c r="AC35" s="50">
        <f>AB35/12/E35</f>
        <v>0.41856719682064475</v>
      </c>
      <c r="AD35" s="50">
        <f>SUM(AE35,AF35)</f>
        <v>0.41856719682064475</v>
      </c>
      <c r="AE35" s="158">
        <f>PRODUCT(Y35,1/12,1/E35)</f>
        <v>0.05281011211451897</v>
      </c>
      <c r="AF35" s="159">
        <f>PRODUCT(Z35,1/12,1/E35)</f>
        <v>0.3657570847061258</v>
      </c>
    </row>
    <row r="36" spans="1:32" s="6" customFormat="1" ht="13.5" customHeight="1">
      <c r="A36" s="9">
        <v>22</v>
      </c>
      <c r="B36" s="8" t="s">
        <v>41</v>
      </c>
      <c r="C36" s="16">
        <v>3549.77</v>
      </c>
      <c r="D36" s="5">
        <v>37.6</v>
      </c>
      <c r="E36" s="5">
        <f>C36+D36</f>
        <v>3587.37</v>
      </c>
      <c r="F36" s="5">
        <v>14</v>
      </c>
      <c r="G36" s="5">
        <v>958</v>
      </c>
      <c r="H36" s="17">
        <v>3.23</v>
      </c>
      <c r="I36" s="147">
        <v>5.05</v>
      </c>
      <c r="J36" s="11">
        <f>H36*G36*12</f>
        <v>37132.08</v>
      </c>
      <c r="K36" s="66">
        <f>J36*I36</f>
        <v>187517.00400000002</v>
      </c>
      <c r="L36" s="59">
        <f>K36/E36/12</f>
        <v>4.355953525842052</v>
      </c>
      <c r="M36" s="9">
        <v>0.007</v>
      </c>
      <c r="N36" s="9">
        <v>0.007</v>
      </c>
      <c r="O36" s="29">
        <v>0.0649</v>
      </c>
      <c r="P36" s="11">
        <v>34.25</v>
      </c>
      <c r="Q36" s="23">
        <v>28.38</v>
      </c>
      <c r="R36" s="23">
        <v>3028.61</v>
      </c>
      <c r="S36" s="23">
        <v>28.38</v>
      </c>
      <c r="T36" s="23">
        <f>SUM(O36*R36,S36)</f>
        <v>224.936789</v>
      </c>
      <c r="U36" s="23">
        <f>M36*G36*12</f>
        <v>80.47200000000001</v>
      </c>
      <c r="V36" s="23">
        <f>U36*Q36</f>
        <v>2283.79536</v>
      </c>
      <c r="W36" s="63">
        <f>V36/12/E36</f>
        <v>0.0530517565793325</v>
      </c>
      <c r="X36" s="47">
        <f>N36*G36*12</f>
        <v>80.47200000000001</v>
      </c>
      <c r="Y36" s="47">
        <f>PRODUCT(X36,S36)</f>
        <v>2283.79536</v>
      </c>
      <c r="Z36" s="47">
        <f>PRODUCT(X36,R36,O36)</f>
        <v>15817.317924408002</v>
      </c>
      <c r="AA36" s="48">
        <f>SUM(Y36:Z36)</f>
        <v>18101.113284408002</v>
      </c>
      <c r="AB36" s="49">
        <f>X36*T36</f>
        <v>18101.113284408002</v>
      </c>
      <c r="AC36" s="50">
        <f>AB36/12/E36</f>
        <v>0.4204824445301154</v>
      </c>
      <c r="AD36" s="50">
        <f>SUM(AE36,AF36)</f>
        <v>0.4204824445301154</v>
      </c>
      <c r="AE36" s="158">
        <f>PRODUCT(Y36,1/12,1/E36)</f>
        <v>0.0530517565793325</v>
      </c>
      <c r="AF36" s="159">
        <f>PRODUCT(Z36,1/12,1/E36)</f>
        <v>0.36743068795078293</v>
      </c>
    </row>
    <row r="37" spans="1:32" s="6" customFormat="1" ht="13.5" customHeight="1">
      <c r="A37" s="128" t="s">
        <v>0</v>
      </c>
      <c r="B37" s="129"/>
      <c r="C37" s="19">
        <f>SUM(C35:C36)</f>
        <v>7126.469999999999</v>
      </c>
      <c r="D37" s="19">
        <f>SUM(D35:D36)</f>
        <v>37.6</v>
      </c>
      <c r="E37" s="19">
        <f>SUM(E35:E36)</f>
        <v>7164.07</v>
      </c>
      <c r="F37" s="19"/>
      <c r="G37" s="19">
        <f>SUM(G35:G36)</f>
        <v>1908.8</v>
      </c>
      <c r="H37" s="20"/>
      <c r="I37" s="148"/>
      <c r="J37" s="19">
        <f>SUM(J35:J36)</f>
        <v>73985.088</v>
      </c>
      <c r="K37" s="37">
        <f>SUM(K35:K36)</f>
        <v>373624.69440000004</v>
      </c>
      <c r="L37" s="60"/>
      <c r="M37" s="22"/>
      <c r="N37" s="22"/>
      <c r="O37" s="29"/>
      <c r="P37" s="22"/>
      <c r="Q37" s="22"/>
      <c r="R37" s="22"/>
      <c r="S37" s="22"/>
      <c r="T37" s="22"/>
      <c r="U37" s="19">
        <f>SUM(U35:U36)</f>
        <v>160.3392</v>
      </c>
      <c r="V37" s="19">
        <f>SUM(V35:V36)</f>
        <v>4550.426496</v>
      </c>
      <c r="W37" s="62"/>
      <c r="X37" s="51">
        <f>SUM(X35:X36)</f>
        <v>160.3392</v>
      </c>
      <c r="Y37" s="51"/>
      <c r="Z37" s="51"/>
      <c r="AA37" s="52"/>
      <c r="AB37" s="53">
        <f>SUM(AB35:AB36)</f>
        <v>36066.18479882881</v>
      </c>
      <c r="AC37" s="54"/>
      <c r="AD37" s="54"/>
      <c r="AE37" s="160"/>
      <c r="AF37" s="161"/>
    </row>
    <row r="38" spans="1:32" s="6" customFormat="1" ht="13.5" customHeight="1">
      <c r="A38" s="122" t="s">
        <v>3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4"/>
      <c r="M38" s="22"/>
      <c r="N38" s="22"/>
      <c r="O38" s="29"/>
      <c r="P38" s="22"/>
      <c r="Q38" s="22"/>
      <c r="R38" s="22"/>
      <c r="S38" s="22"/>
      <c r="T38" s="22"/>
      <c r="U38" s="22"/>
      <c r="V38" s="22"/>
      <c r="W38" s="62"/>
      <c r="X38" s="43"/>
      <c r="Y38" s="43"/>
      <c r="Z38" s="43"/>
      <c r="AA38" s="44"/>
      <c r="AB38" s="45"/>
      <c r="AC38" s="54"/>
      <c r="AD38" s="54"/>
      <c r="AE38" s="160"/>
      <c r="AF38" s="161"/>
    </row>
    <row r="39" spans="1:32" s="6" customFormat="1" ht="13.5" customHeight="1">
      <c r="A39" s="9">
        <v>23</v>
      </c>
      <c r="B39" s="8" t="s">
        <v>4</v>
      </c>
      <c r="C39" s="16">
        <v>2620</v>
      </c>
      <c r="D39" s="5"/>
      <c r="E39" s="5">
        <f>C39+D39</f>
        <v>2620</v>
      </c>
      <c r="F39" s="5">
        <v>5</v>
      </c>
      <c r="G39" s="5">
        <v>313.8</v>
      </c>
      <c r="H39" s="65">
        <v>0.683</v>
      </c>
      <c r="I39" s="147">
        <v>6.73</v>
      </c>
      <c r="J39" s="11">
        <f>H39*G39*12</f>
        <v>2571.9048000000003</v>
      </c>
      <c r="K39" s="66">
        <f>J39*I39</f>
        <v>17308.919304000003</v>
      </c>
      <c r="L39" s="59">
        <f>K39/E39/12</f>
        <v>0.5505381458015268</v>
      </c>
      <c r="M39" s="10">
        <v>0.013</v>
      </c>
      <c r="N39" s="10">
        <v>0.013</v>
      </c>
      <c r="O39" s="29">
        <v>0.0649</v>
      </c>
      <c r="P39" s="11">
        <v>34.25</v>
      </c>
      <c r="Q39" s="23">
        <v>28.38</v>
      </c>
      <c r="R39" s="23">
        <v>3028.61</v>
      </c>
      <c r="S39" s="23">
        <v>28.72</v>
      </c>
      <c r="T39" s="23">
        <f aca="true" t="shared" si="17" ref="T39:T54">SUM(O39*R39,S39)</f>
        <v>225.276789</v>
      </c>
      <c r="U39" s="23">
        <f aca="true" t="shared" si="18" ref="U39:U54">M39*G39*12</f>
        <v>48.952799999999996</v>
      </c>
      <c r="V39" s="23">
        <f aca="true" t="shared" si="19" ref="V39:V54">U39*Q39</f>
        <v>1389.280464</v>
      </c>
      <c r="W39" s="63">
        <f aca="true" t="shared" si="20" ref="W39:W54">V39/12/E39</f>
        <v>0.04418830992366412</v>
      </c>
      <c r="X39" s="47">
        <f aca="true" t="shared" si="21" ref="X39:X54">N39*G39*12</f>
        <v>48.952799999999996</v>
      </c>
      <c r="Y39" s="47">
        <f aca="true" t="shared" si="22" ref="Y39:Y54">PRODUCT(X39,S39)</f>
        <v>1405.9244159999998</v>
      </c>
      <c r="Z39" s="47">
        <f aca="true" t="shared" si="23" ref="Z39:Z54">PRODUCT(X39,R39,O39)</f>
        <v>9622.0051805592</v>
      </c>
      <c r="AA39" s="48">
        <f aca="true" t="shared" si="24" ref="AA39:AA54">SUM(Y39:Z39)</f>
        <v>11027.9295965592</v>
      </c>
      <c r="AB39" s="49">
        <f aca="true" t="shared" si="25" ref="AB39:AB54">X39*T39</f>
        <v>11027.9295965592</v>
      </c>
      <c r="AC39" s="50">
        <f aca="true" t="shared" si="26" ref="AC39:AC54">AB39/12/E39</f>
        <v>0.3507611194834351</v>
      </c>
      <c r="AD39" s="50">
        <f aca="true" t="shared" si="27" ref="AD39:AD54">SUM(AE39,AF39)</f>
        <v>0.3507611194834351</v>
      </c>
      <c r="AE39" s="158">
        <f aca="true" t="shared" si="28" ref="AE39:AE45">PRODUCT(Y39,1/12,1/E39)</f>
        <v>0.044717697709923655</v>
      </c>
      <c r="AF39" s="159">
        <f>PRODUCT(Z39,1/12,1/E39)</f>
        <v>0.3060434217735114</v>
      </c>
    </row>
    <row r="40" spans="1:32" s="6" customFormat="1" ht="16.5" customHeight="1">
      <c r="A40" s="9">
        <v>24</v>
      </c>
      <c r="B40" s="8" t="s">
        <v>5</v>
      </c>
      <c r="C40" s="16">
        <v>2654</v>
      </c>
      <c r="D40" s="5"/>
      <c r="E40" s="5">
        <f aca="true" t="shared" si="29" ref="E40:E54">C40+D40</f>
        <v>2654</v>
      </c>
      <c r="F40" s="5">
        <v>5</v>
      </c>
      <c r="G40" s="5">
        <v>334.7</v>
      </c>
      <c r="H40" s="65">
        <v>0.683</v>
      </c>
      <c r="I40" s="147">
        <v>6.73</v>
      </c>
      <c r="J40" s="11">
        <f aca="true" t="shared" si="30" ref="J40:J54">H40*G40*12</f>
        <v>2743.2012</v>
      </c>
      <c r="K40" s="66">
        <f aca="true" t="shared" si="31" ref="K40:K54">J40*I40</f>
        <v>18461.744076000003</v>
      </c>
      <c r="L40" s="59">
        <f aca="true" t="shared" si="32" ref="L40:L54">K40/E40/12</f>
        <v>0.5796829966088923</v>
      </c>
      <c r="M40" s="10">
        <v>0.013</v>
      </c>
      <c r="N40" s="10">
        <v>0.013</v>
      </c>
      <c r="O40" s="29">
        <v>0.0649</v>
      </c>
      <c r="P40" s="11">
        <v>34.25</v>
      </c>
      <c r="Q40" s="23">
        <v>28.38</v>
      </c>
      <c r="R40" s="23">
        <v>3028.61</v>
      </c>
      <c r="S40" s="23">
        <v>28.72</v>
      </c>
      <c r="T40" s="23">
        <f t="shared" si="17"/>
        <v>225.276789</v>
      </c>
      <c r="U40" s="23">
        <f t="shared" si="18"/>
        <v>52.2132</v>
      </c>
      <c r="V40" s="23">
        <f t="shared" si="19"/>
        <v>1481.810616</v>
      </c>
      <c r="W40" s="63">
        <f t="shared" si="20"/>
        <v>0.046527587792012055</v>
      </c>
      <c r="X40" s="47">
        <f t="shared" si="21"/>
        <v>52.2132</v>
      </c>
      <c r="Y40" s="47">
        <f t="shared" si="22"/>
        <v>1499.563104</v>
      </c>
      <c r="Z40" s="47">
        <f t="shared" si="23"/>
        <v>10262.8589354148</v>
      </c>
      <c r="AA40" s="48">
        <f t="shared" si="24"/>
        <v>11762.422039414801</v>
      </c>
      <c r="AB40" s="49">
        <f t="shared" si="25"/>
        <v>11762.4220394148</v>
      </c>
      <c r="AC40" s="50">
        <f t="shared" si="26"/>
        <v>0.3693300062614544</v>
      </c>
      <c r="AD40" s="50">
        <f t="shared" si="27"/>
        <v>0.36933000626145446</v>
      </c>
      <c r="AE40" s="158">
        <f t="shared" si="28"/>
        <v>0.047085000753579506</v>
      </c>
      <c r="AF40" s="159">
        <f>PRODUCT(Z40,1/12,1/E40)</f>
        <v>0.32224500550787494</v>
      </c>
    </row>
    <row r="41" spans="1:32" s="12" customFormat="1" ht="13.5" customHeight="1">
      <c r="A41" s="9">
        <v>25</v>
      </c>
      <c r="B41" s="8" t="s">
        <v>42</v>
      </c>
      <c r="C41" s="16">
        <v>2659.4</v>
      </c>
      <c r="D41" s="5"/>
      <c r="E41" s="5">
        <f t="shared" si="29"/>
        <v>2659.4</v>
      </c>
      <c r="F41" s="5">
        <v>5</v>
      </c>
      <c r="G41" s="5">
        <v>340.5</v>
      </c>
      <c r="H41" s="65">
        <v>0.683</v>
      </c>
      <c r="I41" s="147">
        <v>6.73</v>
      </c>
      <c r="J41" s="11">
        <f t="shared" si="30"/>
        <v>2790.7380000000003</v>
      </c>
      <c r="K41" s="66">
        <f t="shared" si="31"/>
        <v>18781.666740000004</v>
      </c>
      <c r="L41" s="59">
        <f t="shared" si="32"/>
        <v>0.5885308321425887</v>
      </c>
      <c r="M41" s="10">
        <v>0.013</v>
      </c>
      <c r="N41" s="10">
        <v>0.013</v>
      </c>
      <c r="O41" s="29">
        <v>0.0649</v>
      </c>
      <c r="P41" s="11">
        <v>34.25</v>
      </c>
      <c r="Q41" s="23">
        <v>28.38</v>
      </c>
      <c r="R41" s="23">
        <v>3028.61</v>
      </c>
      <c r="S41" s="23">
        <v>28.72</v>
      </c>
      <c r="T41" s="23">
        <f t="shared" si="17"/>
        <v>225.276789</v>
      </c>
      <c r="U41" s="23">
        <f t="shared" si="18"/>
        <v>53.117999999999995</v>
      </c>
      <c r="V41" s="23">
        <f t="shared" si="19"/>
        <v>1507.4888399999998</v>
      </c>
      <c r="W41" s="63">
        <f t="shared" si="20"/>
        <v>0.04723774911634202</v>
      </c>
      <c r="X41" s="47">
        <f t="shared" si="21"/>
        <v>53.117999999999995</v>
      </c>
      <c r="Y41" s="47">
        <f t="shared" si="22"/>
        <v>1525.5489599999999</v>
      </c>
      <c r="Z41" s="47">
        <f t="shared" si="23"/>
        <v>10440.703518102</v>
      </c>
      <c r="AA41" s="48">
        <f t="shared" si="24"/>
        <v>11966.252478102</v>
      </c>
      <c r="AB41" s="49">
        <f t="shared" si="25"/>
        <v>11966.252478102</v>
      </c>
      <c r="AC41" s="50">
        <f t="shared" si="26"/>
        <v>0.3749671754939084</v>
      </c>
      <c r="AD41" s="50">
        <f t="shared" si="27"/>
        <v>0.3749671754939084</v>
      </c>
      <c r="AE41" s="158">
        <f t="shared" si="28"/>
        <v>0.047803670000752044</v>
      </c>
      <c r="AF41" s="159">
        <f>PRODUCT(Z41,1/12,1/E41)</f>
        <v>0.32716350549315637</v>
      </c>
    </row>
    <row r="42" spans="1:32" s="6" customFormat="1" ht="13.5" customHeight="1">
      <c r="A42" s="9">
        <v>26</v>
      </c>
      <c r="B42" s="8" t="s">
        <v>43</v>
      </c>
      <c r="C42" s="16">
        <v>2668.4</v>
      </c>
      <c r="D42" s="5"/>
      <c r="E42" s="5">
        <f t="shared" si="29"/>
        <v>2668.4</v>
      </c>
      <c r="F42" s="5">
        <v>5</v>
      </c>
      <c r="G42" s="5">
        <v>336.9</v>
      </c>
      <c r="H42" s="65">
        <v>0.683</v>
      </c>
      <c r="I42" s="147">
        <v>6.73</v>
      </c>
      <c r="J42" s="11">
        <f t="shared" si="30"/>
        <v>2761.2324</v>
      </c>
      <c r="K42" s="66">
        <f t="shared" si="31"/>
        <v>18583.094052</v>
      </c>
      <c r="L42" s="59">
        <f t="shared" si="32"/>
        <v>0.5803444652226053</v>
      </c>
      <c r="M42" s="10">
        <v>0.013</v>
      </c>
      <c r="N42" s="10">
        <v>0.013</v>
      </c>
      <c r="O42" s="29">
        <v>0.0649</v>
      </c>
      <c r="P42" s="11">
        <v>34.25</v>
      </c>
      <c r="Q42" s="23">
        <v>28.38</v>
      </c>
      <c r="R42" s="23">
        <v>3028.61</v>
      </c>
      <c r="S42" s="23">
        <v>28.72</v>
      </c>
      <c r="T42" s="23">
        <f t="shared" si="17"/>
        <v>225.276789</v>
      </c>
      <c r="U42" s="23">
        <f t="shared" si="18"/>
        <v>52.5564</v>
      </c>
      <c r="V42" s="23">
        <f t="shared" si="19"/>
        <v>1491.550632</v>
      </c>
      <c r="W42" s="63">
        <f t="shared" si="20"/>
        <v>0.04658067980812471</v>
      </c>
      <c r="X42" s="47">
        <f t="shared" si="21"/>
        <v>52.5564</v>
      </c>
      <c r="Y42" s="47">
        <f t="shared" si="22"/>
        <v>1509.4198079999999</v>
      </c>
      <c r="Z42" s="47">
        <f t="shared" si="23"/>
        <v>10330.3172253996</v>
      </c>
      <c r="AA42" s="48">
        <f t="shared" si="24"/>
        <v>11839.7370333996</v>
      </c>
      <c r="AB42" s="49">
        <f t="shared" si="25"/>
        <v>11839.7370333996</v>
      </c>
      <c r="AC42" s="50">
        <f t="shared" si="26"/>
        <v>0.3697514438552316</v>
      </c>
      <c r="AD42" s="50">
        <f t="shared" si="27"/>
        <v>0.3471387288262629</v>
      </c>
      <c r="AE42" s="158">
        <f t="shared" si="28"/>
        <v>0.047138728826262924</v>
      </c>
      <c r="AF42" s="159">
        <v>0.3</v>
      </c>
    </row>
    <row r="43" spans="1:32" s="6" customFormat="1" ht="15" customHeight="1">
      <c r="A43" s="9">
        <v>27</v>
      </c>
      <c r="B43" s="8" t="s">
        <v>44</v>
      </c>
      <c r="C43" s="16">
        <v>3995.5</v>
      </c>
      <c r="D43" s="5">
        <v>454.8</v>
      </c>
      <c r="E43" s="5">
        <f t="shared" si="29"/>
        <v>4450.3</v>
      </c>
      <c r="F43" s="5">
        <v>5</v>
      </c>
      <c r="G43" s="5">
        <v>470.8</v>
      </c>
      <c r="H43" s="65">
        <v>0.683</v>
      </c>
      <c r="I43" s="147">
        <v>6.73</v>
      </c>
      <c r="J43" s="11">
        <f t="shared" si="30"/>
        <v>3858.6768000000006</v>
      </c>
      <c r="K43" s="66">
        <f t="shared" si="31"/>
        <v>25968.894864000005</v>
      </c>
      <c r="L43" s="59">
        <f t="shared" si="32"/>
        <v>0.4862761099251736</v>
      </c>
      <c r="M43" s="10">
        <v>0.013</v>
      </c>
      <c r="N43" s="10">
        <v>0.013</v>
      </c>
      <c r="O43" s="29">
        <v>0.0649</v>
      </c>
      <c r="P43" s="11">
        <v>34.25</v>
      </c>
      <c r="Q43" s="23">
        <v>28.38</v>
      </c>
      <c r="R43" s="23">
        <v>3028.61</v>
      </c>
      <c r="S43" s="23">
        <v>28.72</v>
      </c>
      <c r="T43" s="23">
        <f t="shared" si="17"/>
        <v>225.276789</v>
      </c>
      <c r="U43" s="23">
        <f t="shared" si="18"/>
        <v>73.4448</v>
      </c>
      <c r="V43" s="23">
        <f t="shared" si="19"/>
        <v>2084.363424</v>
      </c>
      <c r="W43" s="63">
        <f t="shared" si="20"/>
        <v>0.039030391658989284</v>
      </c>
      <c r="X43" s="47">
        <f t="shared" si="21"/>
        <v>73.4448</v>
      </c>
      <c r="Y43" s="47">
        <f t="shared" si="22"/>
        <v>2109.334656</v>
      </c>
      <c r="Z43" s="47">
        <f t="shared" si="23"/>
        <v>14436.0740567472</v>
      </c>
      <c r="AA43" s="48">
        <f t="shared" si="24"/>
        <v>16545.4087127472</v>
      </c>
      <c r="AB43" s="49">
        <f t="shared" si="25"/>
        <v>16545.4087127472</v>
      </c>
      <c r="AC43" s="50">
        <f t="shared" si="26"/>
        <v>0.3098182278488192</v>
      </c>
      <c r="AD43" s="50">
        <f t="shared" si="27"/>
        <v>0.2794979862031773</v>
      </c>
      <c r="AE43" s="158">
        <f t="shared" si="28"/>
        <v>0.039497986203177314</v>
      </c>
      <c r="AF43" s="159">
        <v>0.24</v>
      </c>
    </row>
    <row r="44" spans="1:32" s="6" customFormat="1" ht="13.5" customHeight="1">
      <c r="A44" s="9">
        <v>28</v>
      </c>
      <c r="B44" s="8" t="s">
        <v>45</v>
      </c>
      <c r="C44" s="16">
        <v>2654.72</v>
      </c>
      <c r="D44" s="5"/>
      <c r="E44" s="5">
        <f t="shared" si="29"/>
        <v>2654.72</v>
      </c>
      <c r="F44" s="5">
        <v>5</v>
      </c>
      <c r="G44" s="5">
        <v>333</v>
      </c>
      <c r="H44" s="65">
        <v>0.683</v>
      </c>
      <c r="I44" s="147">
        <v>6.73</v>
      </c>
      <c r="J44" s="11">
        <f t="shared" si="30"/>
        <v>2729.268</v>
      </c>
      <c r="K44" s="66">
        <f t="shared" si="31"/>
        <v>18367.97364</v>
      </c>
      <c r="L44" s="59">
        <f t="shared" si="32"/>
        <v>0.5765822647962874</v>
      </c>
      <c r="M44" s="10">
        <v>0.013</v>
      </c>
      <c r="N44" s="10">
        <v>0.013</v>
      </c>
      <c r="O44" s="29">
        <v>0.0649</v>
      </c>
      <c r="P44" s="11">
        <v>34.25</v>
      </c>
      <c r="Q44" s="23">
        <v>28.38</v>
      </c>
      <c r="R44" s="23">
        <v>3028.61</v>
      </c>
      <c r="S44" s="23">
        <v>28.72</v>
      </c>
      <c r="T44" s="23">
        <f t="shared" si="17"/>
        <v>225.276789</v>
      </c>
      <c r="U44" s="23">
        <f t="shared" si="18"/>
        <v>51.94799999999999</v>
      </c>
      <c r="V44" s="23">
        <f t="shared" si="19"/>
        <v>1474.2842399999997</v>
      </c>
      <c r="W44" s="63">
        <f t="shared" si="20"/>
        <v>0.04627871112584377</v>
      </c>
      <c r="X44" s="47">
        <f t="shared" si="21"/>
        <v>51.94799999999999</v>
      </c>
      <c r="Y44" s="47">
        <f t="shared" si="22"/>
        <v>1491.9465599999996</v>
      </c>
      <c r="Z44" s="47">
        <f t="shared" si="23"/>
        <v>10210.732074972</v>
      </c>
      <c r="AA44" s="48">
        <f t="shared" si="24"/>
        <v>11702.678634972</v>
      </c>
      <c r="AB44" s="49">
        <f t="shared" si="25"/>
        <v>11702.678634971999</v>
      </c>
      <c r="AC44" s="50">
        <f t="shared" si="26"/>
        <v>0.3673544553026308</v>
      </c>
      <c r="AD44" s="50">
        <f t="shared" si="27"/>
        <v>0.3673544553026308</v>
      </c>
      <c r="AE44" s="158">
        <f t="shared" si="28"/>
        <v>0.04683314247830279</v>
      </c>
      <c r="AF44" s="159">
        <f>PRODUCT(Z44,1/12,1/E44)</f>
        <v>0.320521312824328</v>
      </c>
    </row>
    <row r="45" spans="1:32" s="6" customFormat="1" ht="13.5" customHeight="1">
      <c r="A45" s="9">
        <v>29</v>
      </c>
      <c r="B45" s="8" t="s">
        <v>6</v>
      </c>
      <c r="C45" s="16">
        <v>3968</v>
      </c>
      <c r="D45" s="5"/>
      <c r="E45" s="5">
        <f t="shared" si="29"/>
        <v>3968</v>
      </c>
      <c r="F45" s="5">
        <v>5</v>
      </c>
      <c r="G45" s="5">
        <v>419</v>
      </c>
      <c r="H45" s="65">
        <v>0.683</v>
      </c>
      <c r="I45" s="147">
        <v>6.73</v>
      </c>
      <c r="J45" s="11">
        <f t="shared" si="30"/>
        <v>3434.1240000000003</v>
      </c>
      <c r="K45" s="66">
        <f t="shared" si="31"/>
        <v>23111.654520000004</v>
      </c>
      <c r="L45" s="59">
        <f t="shared" si="32"/>
        <v>0.4853758089717743</v>
      </c>
      <c r="M45" s="10">
        <v>0.013</v>
      </c>
      <c r="N45" s="10">
        <v>0.013</v>
      </c>
      <c r="O45" s="29">
        <v>0.0649</v>
      </c>
      <c r="P45" s="11">
        <v>34.25</v>
      </c>
      <c r="Q45" s="23">
        <v>28.38</v>
      </c>
      <c r="R45" s="23">
        <v>3028.61</v>
      </c>
      <c r="S45" s="23">
        <v>28.72</v>
      </c>
      <c r="T45" s="23">
        <f t="shared" si="17"/>
        <v>225.276789</v>
      </c>
      <c r="U45" s="23">
        <f t="shared" si="18"/>
        <v>65.364</v>
      </c>
      <c r="V45" s="23">
        <f t="shared" si="19"/>
        <v>1855.03032</v>
      </c>
      <c r="W45" s="63">
        <f t="shared" si="20"/>
        <v>0.03895813004032258</v>
      </c>
      <c r="X45" s="47">
        <f t="shared" si="21"/>
        <v>65.364</v>
      </c>
      <c r="Y45" s="47">
        <f t="shared" si="22"/>
        <v>1877.2540800000002</v>
      </c>
      <c r="Z45" s="47">
        <f t="shared" si="23"/>
        <v>12847.737956196002</v>
      </c>
      <c r="AA45" s="48">
        <f t="shared" si="24"/>
        <v>14724.992036196003</v>
      </c>
      <c r="AB45" s="49">
        <f t="shared" si="25"/>
        <v>14724.992036196001</v>
      </c>
      <c r="AC45" s="50">
        <f t="shared" si="26"/>
        <v>0.3092446244160787</v>
      </c>
      <c r="AD45" s="50">
        <f t="shared" si="27"/>
        <v>0.30924462441607864</v>
      </c>
      <c r="AE45" s="158">
        <f t="shared" si="28"/>
        <v>0.03942485887096774</v>
      </c>
      <c r="AF45" s="159">
        <f>PRODUCT(Z45,1/12,1/E45)</f>
        <v>0.2698197655451109</v>
      </c>
    </row>
    <row r="46" spans="1:32" s="6" customFormat="1" ht="13.5" customHeight="1">
      <c r="A46" s="9">
        <v>30</v>
      </c>
      <c r="B46" s="8" t="s">
        <v>7</v>
      </c>
      <c r="C46" s="16">
        <v>3996.69</v>
      </c>
      <c r="D46" s="5"/>
      <c r="E46" s="5">
        <f t="shared" si="29"/>
        <v>3996.69</v>
      </c>
      <c r="F46" s="5">
        <v>5</v>
      </c>
      <c r="G46" s="5">
        <v>526.8</v>
      </c>
      <c r="H46" s="65">
        <v>0.683</v>
      </c>
      <c r="I46" s="147">
        <v>6.73</v>
      </c>
      <c r="J46" s="11">
        <f t="shared" si="30"/>
        <v>4317.6528</v>
      </c>
      <c r="K46" s="66">
        <f t="shared" si="31"/>
        <v>29057.803344</v>
      </c>
      <c r="L46" s="59">
        <f t="shared" si="32"/>
        <v>0.6058722622970508</v>
      </c>
      <c r="M46" s="10">
        <v>0.013</v>
      </c>
      <c r="N46" s="10">
        <v>0.013</v>
      </c>
      <c r="O46" s="29">
        <v>0.0649</v>
      </c>
      <c r="P46" s="11">
        <v>34.25</v>
      </c>
      <c r="Q46" s="23">
        <v>28.38</v>
      </c>
      <c r="R46" s="23">
        <v>3028.61</v>
      </c>
      <c r="S46" s="23">
        <v>28.72</v>
      </c>
      <c r="T46" s="23">
        <f t="shared" si="17"/>
        <v>225.276789</v>
      </c>
      <c r="U46" s="23">
        <f t="shared" si="18"/>
        <v>82.18079999999999</v>
      </c>
      <c r="V46" s="23">
        <f t="shared" si="19"/>
        <v>2332.2911039999995</v>
      </c>
      <c r="W46" s="63">
        <f t="shared" si="20"/>
        <v>0.04862963902629425</v>
      </c>
      <c r="X46" s="47">
        <f t="shared" si="21"/>
        <v>82.18079999999999</v>
      </c>
      <c r="Y46" s="47">
        <f t="shared" si="22"/>
        <v>2360.2325759999994</v>
      </c>
      <c r="Z46" s="47">
        <f t="shared" si="23"/>
        <v>16153.194165451197</v>
      </c>
      <c r="AA46" s="48">
        <f t="shared" si="24"/>
        <v>18513.426741451196</v>
      </c>
      <c r="AB46" s="49">
        <f t="shared" si="25"/>
        <v>18513.4267414512</v>
      </c>
      <c r="AC46" s="50">
        <f t="shared" si="26"/>
        <v>0.38601581853673916</v>
      </c>
      <c r="AD46" s="50">
        <f t="shared" si="27"/>
        <v>0.37680358341217346</v>
      </c>
      <c r="AE46" s="158">
        <v>0.04</v>
      </c>
      <c r="AF46" s="159">
        <f>PRODUCT(Z46,1/12,1/E46)</f>
        <v>0.3368035834121735</v>
      </c>
    </row>
    <row r="47" spans="1:32" s="6" customFormat="1" ht="13.5" customHeight="1">
      <c r="A47" s="9">
        <v>31</v>
      </c>
      <c r="B47" s="8" t="s">
        <v>8</v>
      </c>
      <c r="C47" s="16">
        <v>2638.08</v>
      </c>
      <c r="D47" s="5"/>
      <c r="E47" s="5">
        <f t="shared" si="29"/>
        <v>2638.08</v>
      </c>
      <c r="F47" s="5">
        <v>5</v>
      </c>
      <c r="G47" s="5">
        <v>330.7</v>
      </c>
      <c r="H47" s="65">
        <v>0.683</v>
      </c>
      <c r="I47" s="147">
        <v>6.73</v>
      </c>
      <c r="J47" s="11">
        <f t="shared" si="30"/>
        <v>2710.4172</v>
      </c>
      <c r="K47" s="66">
        <f t="shared" si="31"/>
        <v>18241.107756</v>
      </c>
      <c r="L47" s="59">
        <f t="shared" si="32"/>
        <v>0.5762116057890588</v>
      </c>
      <c r="M47" s="10">
        <v>0.013</v>
      </c>
      <c r="N47" s="10">
        <v>0.013</v>
      </c>
      <c r="O47" s="29">
        <v>0.0649</v>
      </c>
      <c r="P47" s="11">
        <v>34.25</v>
      </c>
      <c r="Q47" s="23">
        <v>28.38</v>
      </c>
      <c r="R47" s="23">
        <v>3028.61</v>
      </c>
      <c r="S47" s="23">
        <v>28.72</v>
      </c>
      <c r="T47" s="23">
        <f t="shared" si="17"/>
        <v>225.276789</v>
      </c>
      <c r="U47" s="23">
        <f t="shared" si="18"/>
        <v>51.58919999999999</v>
      </c>
      <c r="V47" s="23">
        <f t="shared" si="19"/>
        <v>1464.1014959999998</v>
      </c>
      <c r="W47" s="63">
        <f t="shared" si="20"/>
        <v>0.0462489606077147</v>
      </c>
      <c r="X47" s="47">
        <f t="shared" si="21"/>
        <v>51.58919999999999</v>
      </c>
      <c r="Y47" s="47">
        <f t="shared" si="22"/>
        <v>1481.6418239999996</v>
      </c>
      <c r="Z47" s="47">
        <f t="shared" si="23"/>
        <v>10140.207499078799</v>
      </c>
      <c r="AA47" s="48">
        <f t="shared" si="24"/>
        <v>11621.849323078799</v>
      </c>
      <c r="AB47" s="49">
        <f t="shared" si="25"/>
        <v>11621.849323078799</v>
      </c>
      <c r="AC47" s="50">
        <f t="shared" si="26"/>
        <v>0.3671182995170351</v>
      </c>
      <c r="AD47" s="50">
        <f t="shared" si="27"/>
        <v>0.36711829951703506</v>
      </c>
      <c r="AE47" s="158">
        <f aca="true" t="shared" si="33" ref="AE47:AE54">PRODUCT(Y47,1/12,1/E47)</f>
        <v>0.046803035540999495</v>
      </c>
      <c r="AF47" s="159">
        <f>PRODUCT(Z47,1/12,1/E47)</f>
        <v>0.32031526397603555</v>
      </c>
    </row>
    <row r="48" spans="1:32" s="6" customFormat="1" ht="13.5" customHeight="1">
      <c r="A48" s="9">
        <v>32</v>
      </c>
      <c r="B48" s="8" t="s">
        <v>9</v>
      </c>
      <c r="C48" s="16">
        <v>3993.57</v>
      </c>
      <c r="D48" s="5"/>
      <c r="E48" s="5">
        <f t="shared" si="29"/>
        <v>3993.57</v>
      </c>
      <c r="F48" s="5">
        <v>5</v>
      </c>
      <c r="G48" s="5">
        <v>405</v>
      </c>
      <c r="H48" s="65">
        <v>0.683</v>
      </c>
      <c r="I48" s="147">
        <v>6.73</v>
      </c>
      <c r="J48" s="11">
        <f t="shared" si="30"/>
        <v>3319.38</v>
      </c>
      <c r="K48" s="66">
        <f t="shared" si="31"/>
        <v>22339.4274</v>
      </c>
      <c r="L48" s="59">
        <f t="shared" si="32"/>
        <v>0.46615408018389565</v>
      </c>
      <c r="M48" s="10">
        <v>0.013</v>
      </c>
      <c r="N48" s="10">
        <v>0.013</v>
      </c>
      <c r="O48" s="29">
        <v>0.0649</v>
      </c>
      <c r="P48" s="11">
        <v>34.25</v>
      </c>
      <c r="Q48" s="23">
        <v>28.38</v>
      </c>
      <c r="R48" s="23">
        <v>3028.61</v>
      </c>
      <c r="S48" s="23">
        <v>28.72</v>
      </c>
      <c r="T48" s="23">
        <f t="shared" si="17"/>
        <v>225.276789</v>
      </c>
      <c r="U48" s="23">
        <f t="shared" si="18"/>
        <v>63.17999999999999</v>
      </c>
      <c r="V48" s="23">
        <f t="shared" si="19"/>
        <v>1793.0483999999997</v>
      </c>
      <c r="W48" s="63">
        <f t="shared" si="20"/>
        <v>0.037415320127104315</v>
      </c>
      <c r="X48" s="47">
        <f t="shared" si="21"/>
        <v>63.17999999999999</v>
      </c>
      <c r="Y48" s="47">
        <f t="shared" si="22"/>
        <v>1814.5295999999996</v>
      </c>
      <c r="Z48" s="47">
        <f t="shared" si="23"/>
        <v>12418.457929019998</v>
      </c>
      <c r="AA48" s="48">
        <f t="shared" si="24"/>
        <v>14232.987529019998</v>
      </c>
      <c r="AB48" s="49">
        <f t="shared" si="25"/>
        <v>14232.987529019998</v>
      </c>
      <c r="AC48" s="50">
        <f t="shared" si="26"/>
        <v>0.2969979978027178</v>
      </c>
      <c r="AD48" s="50">
        <f t="shared" si="27"/>
        <v>0.29699799780271774</v>
      </c>
      <c r="AE48" s="158">
        <f t="shared" si="33"/>
        <v>0.03786356568183353</v>
      </c>
      <c r="AF48" s="159">
        <f>PRODUCT(Z48,1/12,1/E48)</f>
        <v>0.2591344321208842</v>
      </c>
    </row>
    <row r="49" spans="1:32" s="6" customFormat="1" ht="13.5" customHeight="1">
      <c r="A49" s="9">
        <v>33</v>
      </c>
      <c r="B49" s="8" t="s">
        <v>10</v>
      </c>
      <c r="C49" s="16">
        <v>2671.64</v>
      </c>
      <c r="D49" s="5"/>
      <c r="E49" s="5">
        <f t="shared" si="29"/>
        <v>2671.64</v>
      </c>
      <c r="F49" s="5">
        <v>5</v>
      </c>
      <c r="G49" s="5">
        <v>338</v>
      </c>
      <c r="H49" s="65">
        <v>0.683</v>
      </c>
      <c r="I49" s="147">
        <v>6.73</v>
      </c>
      <c r="J49" s="11">
        <f t="shared" si="30"/>
        <v>2770.248</v>
      </c>
      <c r="K49" s="66">
        <f t="shared" si="31"/>
        <v>18643.769040000003</v>
      </c>
      <c r="L49" s="59">
        <f t="shared" si="32"/>
        <v>0.5815332230390323</v>
      </c>
      <c r="M49" s="10">
        <v>0.013</v>
      </c>
      <c r="N49" s="10">
        <v>0.013</v>
      </c>
      <c r="O49" s="29">
        <v>0.0649</v>
      </c>
      <c r="P49" s="11">
        <v>34.25</v>
      </c>
      <c r="Q49" s="23">
        <v>28.38</v>
      </c>
      <c r="R49" s="23">
        <v>3028.61</v>
      </c>
      <c r="S49" s="23">
        <v>28.72</v>
      </c>
      <c r="T49" s="23">
        <f t="shared" si="17"/>
        <v>225.276789</v>
      </c>
      <c r="U49" s="23">
        <f t="shared" si="18"/>
        <v>52.728</v>
      </c>
      <c r="V49" s="23">
        <f t="shared" si="19"/>
        <v>1496.42064</v>
      </c>
      <c r="W49" s="63">
        <f t="shared" si="20"/>
        <v>0.046676094084532355</v>
      </c>
      <c r="X49" s="47">
        <f t="shared" si="21"/>
        <v>52.728</v>
      </c>
      <c r="Y49" s="47">
        <f t="shared" si="22"/>
        <v>1514.34816</v>
      </c>
      <c r="Z49" s="47">
        <f t="shared" si="23"/>
        <v>10364.046370392</v>
      </c>
      <c r="AA49" s="48">
        <f t="shared" si="24"/>
        <v>11878.394530391999</v>
      </c>
      <c r="AB49" s="49">
        <f t="shared" si="25"/>
        <v>11878.394530392</v>
      </c>
      <c r="AC49" s="50">
        <f t="shared" si="26"/>
        <v>0.37050883010660124</v>
      </c>
      <c r="AD49" s="50">
        <f t="shared" si="27"/>
        <v>0.3472352861912533</v>
      </c>
      <c r="AE49" s="158">
        <f t="shared" si="33"/>
        <v>0.04723528619125331</v>
      </c>
      <c r="AF49" s="159">
        <v>0.3</v>
      </c>
    </row>
    <row r="50" spans="1:32" s="6" customFormat="1" ht="13.5" customHeight="1">
      <c r="A50" s="9">
        <v>34</v>
      </c>
      <c r="B50" s="8" t="s">
        <v>11</v>
      </c>
      <c r="C50" s="16">
        <v>2567.94</v>
      </c>
      <c r="D50" s="5"/>
      <c r="E50" s="5">
        <f t="shared" si="29"/>
        <v>2567.94</v>
      </c>
      <c r="F50" s="5">
        <v>5</v>
      </c>
      <c r="G50" s="5">
        <v>318.5</v>
      </c>
      <c r="H50" s="65">
        <v>0.683</v>
      </c>
      <c r="I50" s="147">
        <v>6.73</v>
      </c>
      <c r="J50" s="11">
        <f t="shared" si="30"/>
        <v>2610.4260000000004</v>
      </c>
      <c r="K50" s="66">
        <f t="shared" si="31"/>
        <v>17568.166980000005</v>
      </c>
      <c r="L50" s="59">
        <f t="shared" si="32"/>
        <v>0.5701121969360656</v>
      </c>
      <c r="M50" s="10">
        <v>0.013</v>
      </c>
      <c r="N50" s="10">
        <v>0.013</v>
      </c>
      <c r="O50" s="29">
        <v>0.0649</v>
      </c>
      <c r="P50" s="11">
        <v>34.25</v>
      </c>
      <c r="Q50" s="23">
        <v>28.38</v>
      </c>
      <c r="R50" s="23">
        <v>3028.61</v>
      </c>
      <c r="S50" s="23">
        <v>28.72</v>
      </c>
      <c r="T50" s="23">
        <f t="shared" si="17"/>
        <v>225.276789</v>
      </c>
      <c r="U50" s="23">
        <f t="shared" si="18"/>
        <v>49.68599999999999</v>
      </c>
      <c r="V50" s="23">
        <f t="shared" si="19"/>
        <v>1410.0886799999998</v>
      </c>
      <c r="W50" s="63">
        <f t="shared" si="20"/>
        <v>0.04575939858407906</v>
      </c>
      <c r="X50" s="47">
        <f t="shared" si="21"/>
        <v>49.68599999999999</v>
      </c>
      <c r="Y50" s="47">
        <f t="shared" si="22"/>
        <v>1426.9819199999997</v>
      </c>
      <c r="Z50" s="47">
        <f t="shared" si="23"/>
        <v>9766.120618253999</v>
      </c>
      <c r="AA50" s="48">
        <f t="shared" si="24"/>
        <v>11193.102538254</v>
      </c>
      <c r="AB50" s="49">
        <f t="shared" si="25"/>
        <v>11193.102538254</v>
      </c>
      <c r="AC50" s="50">
        <f t="shared" si="26"/>
        <v>0.363232219154069</v>
      </c>
      <c r="AD50" s="50">
        <f t="shared" si="27"/>
        <v>0.36323221915406895</v>
      </c>
      <c r="AE50" s="158">
        <f t="shared" si="33"/>
        <v>0.04630760843321883</v>
      </c>
      <c r="AF50" s="159">
        <f>PRODUCT(Z50,1/12,1/E50)</f>
        <v>0.3169246107208501</v>
      </c>
    </row>
    <row r="51" spans="1:32" s="6" customFormat="1" ht="13.5" customHeight="1">
      <c r="A51" s="9">
        <v>35</v>
      </c>
      <c r="B51" s="8" t="s">
        <v>12</v>
      </c>
      <c r="C51" s="16">
        <v>2638.7</v>
      </c>
      <c r="D51" s="5"/>
      <c r="E51" s="5">
        <f t="shared" si="29"/>
        <v>2638.7</v>
      </c>
      <c r="F51" s="5">
        <v>5</v>
      </c>
      <c r="G51" s="5">
        <v>332.06</v>
      </c>
      <c r="H51" s="65">
        <v>0.683</v>
      </c>
      <c r="I51" s="147">
        <v>6.73</v>
      </c>
      <c r="J51" s="11">
        <f t="shared" si="30"/>
        <v>2721.56376</v>
      </c>
      <c r="K51" s="66">
        <f t="shared" si="31"/>
        <v>18316.1241048</v>
      </c>
      <c r="L51" s="59">
        <f t="shared" si="32"/>
        <v>0.5784453236063214</v>
      </c>
      <c r="M51" s="10">
        <v>0.013</v>
      </c>
      <c r="N51" s="10">
        <v>0.013</v>
      </c>
      <c r="O51" s="29">
        <v>0.0649</v>
      </c>
      <c r="P51" s="11">
        <v>34.25</v>
      </c>
      <c r="Q51" s="23">
        <v>28.38</v>
      </c>
      <c r="R51" s="23">
        <v>3028.61</v>
      </c>
      <c r="S51" s="23">
        <v>28.72</v>
      </c>
      <c r="T51" s="23">
        <f t="shared" si="17"/>
        <v>225.276789</v>
      </c>
      <c r="U51" s="23">
        <f t="shared" si="18"/>
        <v>51.801359999999995</v>
      </c>
      <c r="V51" s="23">
        <f t="shared" si="19"/>
        <v>1470.1225967999999</v>
      </c>
      <c r="W51" s="63">
        <f t="shared" si="20"/>
        <v>0.04642824739455035</v>
      </c>
      <c r="X51" s="47">
        <f t="shared" si="21"/>
        <v>51.801359999999995</v>
      </c>
      <c r="Y51" s="47">
        <f t="shared" si="22"/>
        <v>1487.7350591999998</v>
      </c>
      <c r="Z51" s="47">
        <f t="shared" si="23"/>
        <v>10181.908987433038</v>
      </c>
      <c r="AA51" s="48">
        <f t="shared" si="24"/>
        <v>11669.644046633039</v>
      </c>
      <c r="AB51" s="49">
        <f t="shared" si="25"/>
        <v>11669.644046633039</v>
      </c>
      <c r="AC51" s="50">
        <f t="shared" si="26"/>
        <v>0.3685414549662409</v>
      </c>
      <c r="AD51" s="50">
        <f t="shared" si="27"/>
        <v>0.36854145496624086</v>
      </c>
      <c r="AE51" s="158">
        <f t="shared" si="33"/>
        <v>0.04698447023155341</v>
      </c>
      <c r="AF51" s="159">
        <f>PRODUCT(Z51,1/12,1/E51)</f>
        <v>0.32155698473468747</v>
      </c>
    </row>
    <row r="52" spans="1:32" s="6" customFormat="1" ht="15.75" customHeight="1">
      <c r="A52" s="9">
        <v>36</v>
      </c>
      <c r="B52" s="8" t="s">
        <v>13</v>
      </c>
      <c r="C52" s="16">
        <v>2620.04</v>
      </c>
      <c r="D52" s="5"/>
      <c r="E52" s="5">
        <f t="shared" si="29"/>
        <v>2620.04</v>
      </c>
      <c r="F52" s="5">
        <v>5</v>
      </c>
      <c r="G52" s="5">
        <v>335.3</v>
      </c>
      <c r="H52" s="65">
        <v>0.683</v>
      </c>
      <c r="I52" s="147">
        <v>6.73</v>
      </c>
      <c r="J52" s="11">
        <f t="shared" si="30"/>
        <v>2748.1188</v>
      </c>
      <c r="K52" s="66">
        <f t="shared" si="31"/>
        <v>18494.839524000003</v>
      </c>
      <c r="L52" s="59">
        <f t="shared" si="32"/>
        <v>0.5882492736752112</v>
      </c>
      <c r="M52" s="10">
        <v>0.013</v>
      </c>
      <c r="N52" s="10">
        <v>0.013</v>
      </c>
      <c r="O52" s="29">
        <v>0.0649</v>
      </c>
      <c r="P52" s="11">
        <v>34.25</v>
      </c>
      <c r="Q52" s="23">
        <v>28.38</v>
      </c>
      <c r="R52" s="23">
        <v>3028.61</v>
      </c>
      <c r="S52" s="23">
        <v>28.72</v>
      </c>
      <c r="T52" s="23">
        <f t="shared" si="17"/>
        <v>225.276789</v>
      </c>
      <c r="U52" s="23">
        <f t="shared" si="18"/>
        <v>52.3068</v>
      </c>
      <c r="V52" s="23">
        <f t="shared" si="19"/>
        <v>1484.466984</v>
      </c>
      <c r="W52" s="63">
        <f t="shared" si="20"/>
        <v>0.04721515015037938</v>
      </c>
      <c r="X52" s="47">
        <f t="shared" si="21"/>
        <v>52.3068</v>
      </c>
      <c r="Y52" s="47">
        <f t="shared" si="22"/>
        <v>1502.251296</v>
      </c>
      <c r="Z52" s="47">
        <f t="shared" si="23"/>
        <v>10281.2566508652</v>
      </c>
      <c r="AA52" s="48">
        <f t="shared" si="24"/>
        <v>11783.5079468652</v>
      </c>
      <c r="AB52" s="49">
        <f t="shared" si="25"/>
        <v>11783.5079468652</v>
      </c>
      <c r="AC52" s="50">
        <f t="shared" si="26"/>
        <v>0.3747877878093846</v>
      </c>
      <c r="AD52" s="50">
        <f t="shared" si="27"/>
        <v>0.3747877878093846</v>
      </c>
      <c r="AE52" s="158">
        <f t="shared" si="33"/>
        <v>0.04778080029312529</v>
      </c>
      <c r="AF52" s="159">
        <f>PRODUCT(Z52,1/12,1/E52)</f>
        <v>0.3270069875162593</v>
      </c>
    </row>
    <row r="53" spans="1:32" s="6" customFormat="1" ht="13.5" customHeight="1">
      <c r="A53" s="9">
        <v>37</v>
      </c>
      <c r="B53" s="8" t="s">
        <v>14</v>
      </c>
      <c r="C53" s="16">
        <v>2624.1</v>
      </c>
      <c r="D53" s="5"/>
      <c r="E53" s="5">
        <f t="shared" si="29"/>
        <v>2624.1</v>
      </c>
      <c r="F53" s="5">
        <v>5</v>
      </c>
      <c r="G53" s="5">
        <v>333.12</v>
      </c>
      <c r="H53" s="65">
        <v>0.683</v>
      </c>
      <c r="I53" s="147">
        <v>6.73</v>
      </c>
      <c r="J53" s="11">
        <f t="shared" si="30"/>
        <v>2730.2515200000003</v>
      </c>
      <c r="K53" s="66">
        <f t="shared" si="31"/>
        <v>18374.592729600005</v>
      </c>
      <c r="L53" s="59">
        <f t="shared" si="32"/>
        <v>0.5835204682748373</v>
      </c>
      <c r="M53" s="10">
        <v>0.013</v>
      </c>
      <c r="N53" s="10">
        <v>0.013</v>
      </c>
      <c r="O53" s="29">
        <v>0.0649</v>
      </c>
      <c r="P53" s="11">
        <v>34.25</v>
      </c>
      <c r="Q53" s="23">
        <v>28.38</v>
      </c>
      <c r="R53" s="23">
        <v>3028.61</v>
      </c>
      <c r="S53" s="23">
        <v>28.72</v>
      </c>
      <c r="T53" s="23">
        <f t="shared" si="17"/>
        <v>225.276789</v>
      </c>
      <c r="U53" s="23">
        <f t="shared" si="18"/>
        <v>51.96672</v>
      </c>
      <c r="V53" s="23">
        <f t="shared" si="19"/>
        <v>1474.8155136</v>
      </c>
      <c r="W53" s="63">
        <f t="shared" si="20"/>
        <v>0.04683559803361153</v>
      </c>
      <c r="X53" s="47">
        <f t="shared" si="21"/>
        <v>51.96672</v>
      </c>
      <c r="Y53" s="47">
        <f t="shared" si="22"/>
        <v>1492.4841984</v>
      </c>
      <c r="Z53" s="47">
        <f t="shared" si="23"/>
        <v>10214.41161806208</v>
      </c>
      <c r="AA53" s="48">
        <f t="shared" si="24"/>
        <v>11706.89581646208</v>
      </c>
      <c r="AB53" s="49">
        <f t="shared" si="25"/>
        <v>11706.895816462082</v>
      </c>
      <c r="AC53" s="50">
        <f t="shared" si="26"/>
        <v>0.3717749519346977</v>
      </c>
      <c r="AD53" s="50">
        <f t="shared" si="27"/>
        <v>0.3473967010403567</v>
      </c>
      <c r="AE53" s="158">
        <f t="shared" si="33"/>
        <v>0.04739670104035669</v>
      </c>
      <c r="AF53" s="159">
        <v>0.3</v>
      </c>
    </row>
    <row r="54" spans="1:32" s="6" customFormat="1" ht="13.5" customHeight="1">
      <c r="A54" s="9">
        <v>38</v>
      </c>
      <c r="B54" s="8" t="s">
        <v>15</v>
      </c>
      <c r="C54" s="16">
        <v>2629.16</v>
      </c>
      <c r="D54" s="5"/>
      <c r="E54" s="5">
        <f t="shared" si="29"/>
        <v>2629.16</v>
      </c>
      <c r="F54" s="5">
        <v>5</v>
      </c>
      <c r="G54" s="5">
        <v>333.14</v>
      </c>
      <c r="H54" s="65">
        <v>0.683</v>
      </c>
      <c r="I54" s="147">
        <v>6.73</v>
      </c>
      <c r="J54" s="11">
        <f t="shared" si="30"/>
        <v>2730.41544</v>
      </c>
      <c r="K54" s="66">
        <f t="shared" si="31"/>
        <v>18375.695911200004</v>
      </c>
      <c r="L54" s="59">
        <f t="shared" si="32"/>
        <v>0.5824324090584067</v>
      </c>
      <c r="M54" s="10">
        <v>0.013</v>
      </c>
      <c r="N54" s="10">
        <v>0.013</v>
      </c>
      <c r="O54" s="29">
        <v>0.0649</v>
      </c>
      <c r="P54" s="11">
        <v>34.25</v>
      </c>
      <c r="Q54" s="23">
        <v>28.38</v>
      </c>
      <c r="R54" s="23">
        <v>3028.61</v>
      </c>
      <c r="S54" s="23">
        <v>28.72</v>
      </c>
      <c r="T54" s="23">
        <f t="shared" si="17"/>
        <v>225.276789</v>
      </c>
      <c r="U54" s="23">
        <f t="shared" si="18"/>
        <v>51.96983999999999</v>
      </c>
      <c r="V54" s="23">
        <f t="shared" si="19"/>
        <v>1474.9040591999997</v>
      </c>
      <c r="W54" s="63">
        <f t="shared" si="20"/>
        <v>0.04674826621430418</v>
      </c>
      <c r="X54" s="47">
        <f t="shared" si="21"/>
        <v>51.96983999999999</v>
      </c>
      <c r="Y54" s="47">
        <f t="shared" si="22"/>
        <v>1492.5738047999996</v>
      </c>
      <c r="Z54" s="47">
        <f t="shared" si="23"/>
        <v>10215.024875243758</v>
      </c>
      <c r="AA54" s="48">
        <f t="shared" si="24"/>
        <v>11707.598680043759</v>
      </c>
      <c r="AB54" s="49">
        <f t="shared" si="25"/>
        <v>11707.598680043759</v>
      </c>
      <c r="AC54" s="50">
        <f t="shared" si="26"/>
        <v>0.3710817231880068</v>
      </c>
      <c r="AD54" s="50">
        <f t="shared" si="27"/>
        <v>0.34730832296246705</v>
      </c>
      <c r="AE54" s="158">
        <f t="shared" si="33"/>
        <v>0.04730832296246709</v>
      </c>
      <c r="AF54" s="159">
        <v>0.3</v>
      </c>
    </row>
    <row r="55" spans="1:32" s="75" customFormat="1" ht="12.75" customHeight="1">
      <c r="A55" s="115" t="s">
        <v>0</v>
      </c>
      <c r="B55" s="116"/>
      <c r="C55" s="37">
        <f>SUM(C39:C54)</f>
        <v>47599.94</v>
      </c>
      <c r="D55" s="37">
        <f>SUM(D39:D54)</f>
        <v>454.8</v>
      </c>
      <c r="E55" s="37">
        <f>SUM(E39:E54)</f>
        <v>48054.73999999999</v>
      </c>
      <c r="F55" s="37"/>
      <c r="G55" s="37">
        <f>SUM(G39:G54)</f>
        <v>5801.320000000001</v>
      </c>
      <c r="H55" s="37"/>
      <c r="I55" s="149"/>
      <c r="J55" s="37">
        <f>SUM(J39:J54)</f>
        <v>47547.61871999999</v>
      </c>
      <c r="K55" s="37">
        <f>SUM(K39:K54)</f>
        <v>319995.4739856001</v>
      </c>
      <c r="L55" s="67"/>
      <c r="M55" s="68"/>
      <c r="N55" s="68"/>
      <c r="O55" s="66"/>
      <c r="P55" s="69"/>
      <c r="Q55" s="69"/>
      <c r="R55" s="69"/>
      <c r="S55" s="69"/>
      <c r="T55" s="69"/>
      <c r="U55" s="37">
        <f>SUM(U39:U54)</f>
        <v>905.0059199999998</v>
      </c>
      <c r="V55" s="37">
        <f>SUM(V39:V54)</f>
        <v>25684.068009599996</v>
      </c>
      <c r="W55" s="70"/>
      <c r="X55" s="71">
        <f>SUM(X39:X54)</f>
        <v>905.0059199999998</v>
      </c>
      <c r="Y55" s="71"/>
      <c r="Z55" s="71"/>
      <c r="AA55" s="72"/>
      <c r="AB55" s="73">
        <f>SUM(AB39:AB54)</f>
        <v>203876.82768359085</v>
      </c>
      <c r="AC55" s="74"/>
      <c r="AD55" s="74"/>
      <c r="AE55" s="162"/>
      <c r="AF55" s="163"/>
    </row>
    <row r="56" spans="1:32" s="75" customFormat="1" ht="13.5" customHeight="1" thickBot="1">
      <c r="A56" s="76" t="s">
        <v>16</v>
      </c>
      <c r="B56" s="37"/>
      <c r="C56" s="37">
        <f>C29+C37++C55</f>
        <v>227053.16999999998</v>
      </c>
      <c r="D56" s="37">
        <f>D29+D37+D55</f>
        <v>3636.2200000000003</v>
      </c>
      <c r="E56" s="37">
        <f>E29+E37+E55</f>
        <v>230689.38999999998</v>
      </c>
      <c r="F56" s="37"/>
      <c r="G56" s="37">
        <f>G29+G37+G55</f>
        <v>25995.72</v>
      </c>
      <c r="H56" s="37"/>
      <c r="I56" s="149"/>
      <c r="J56" s="37">
        <f>J29+J37+J55</f>
        <v>830282.5627200002</v>
      </c>
      <c r="K56" s="37">
        <f>K29+K37+K55</f>
        <v>5463506.699265601</v>
      </c>
      <c r="L56" s="67"/>
      <c r="M56" s="68"/>
      <c r="N56" s="68"/>
      <c r="O56" s="68"/>
      <c r="P56" s="69"/>
      <c r="Q56" s="69"/>
      <c r="R56" s="69"/>
      <c r="S56" s="69"/>
      <c r="T56" s="69"/>
      <c r="U56" s="37">
        <f>U29+U37+U55</f>
        <v>3698.471519999999</v>
      </c>
      <c r="V56" s="37">
        <f>V29+V37+V55</f>
        <v>104962.6217376</v>
      </c>
      <c r="W56" s="77"/>
      <c r="X56" s="71">
        <f>X29+X37+X55</f>
        <v>3698.471519999999</v>
      </c>
      <c r="Y56" s="71"/>
      <c r="Z56" s="71"/>
      <c r="AA56" s="72"/>
      <c r="AB56" s="73">
        <f>AB29+AB37+AB55</f>
        <v>832598.9969695492</v>
      </c>
      <c r="AC56" s="78"/>
      <c r="AD56" s="78"/>
      <c r="AE56" s="164"/>
      <c r="AF56" s="165"/>
    </row>
    <row r="57" spans="1:12" ht="13.5" customHeight="1">
      <c r="A57" s="14"/>
      <c r="B57" s="15"/>
      <c r="C57" s="15"/>
      <c r="D57" s="15"/>
      <c r="E57" s="15"/>
      <c r="F57" s="7"/>
      <c r="G57" s="7"/>
      <c r="H57" s="7"/>
      <c r="I57" s="7"/>
      <c r="J57" s="7"/>
      <c r="K57" s="7"/>
      <c r="L57" s="7"/>
    </row>
    <row r="58" ht="15.75">
      <c r="L58" s="38"/>
    </row>
    <row r="59" spans="3:5" ht="15.75">
      <c r="C59" s="18"/>
      <c r="D59" s="18"/>
      <c r="E59" s="18"/>
    </row>
    <row r="60" spans="2:5" ht="13.5" customHeight="1">
      <c r="B60" s="24" t="s">
        <v>48</v>
      </c>
      <c r="C60" s="13"/>
      <c r="D60" s="13"/>
      <c r="E60" s="24" t="s">
        <v>63</v>
      </c>
    </row>
    <row r="61" spans="3:5" ht="13.5" customHeight="1">
      <c r="C61" s="13"/>
      <c r="D61" s="13"/>
      <c r="E61" s="13"/>
    </row>
    <row r="62" spans="3:5" ht="13.5" customHeight="1">
      <c r="C62" s="18"/>
      <c r="D62" s="18"/>
      <c r="E62" s="18"/>
    </row>
    <row r="63" spans="3:5" ht="13.5" customHeight="1">
      <c r="C63" s="18"/>
      <c r="D63" s="18"/>
      <c r="E63" s="18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</sheetData>
  <sheetProtection/>
  <mergeCells count="69">
    <mergeCell ref="A2:AF2"/>
    <mergeCell ref="H1:I1"/>
    <mergeCell ref="J4:J7"/>
    <mergeCell ref="V4:V7"/>
    <mergeCell ref="W4:W7"/>
    <mergeCell ref="Q4:Q7"/>
    <mergeCell ref="F30:F33"/>
    <mergeCell ref="G30:G33"/>
    <mergeCell ref="H30:H33"/>
    <mergeCell ref="Q30:Q33"/>
    <mergeCell ref="H4:H7"/>
    <mergeCell ref="I4:I7"/>
    <mergeCell ref="K30:K33"/>
    <mergeCell ref="J30:J33"/>
    <mergeCell ref="P4:P7"/>
    <mergeCell ref="K4:K7"/>
    <mergeCell ref="D32:D33"/>
    <mergeCell ref="AC30:AC33"/>
    <mergeCell ref="AB30:AB33"/>
    <mergeCell ref="X30:X33"/>
    <mergeCell ref="N32:N33"/>
    <mergeCell ref="U30:U33"/>
    <mergeCell ref="V30:V33"/>
    <mergeCell ref="W30:W33"/>
    <mergeCell ref="Y30:Y33"/>
    <mergeCell ref="Z30:Z33"/>
    <mergeCell ref="A37:B37"/>
    <mergeCell ref="E32:E33"/>
    <mergeCell ref="A38:L38"/>
    <mergeCell ref="A8:L8"/>
    <mergeCell ref="A29:B29"/>
    <mergeCell ref="A30:A33"/>
    <mergeCell ref="B30:B33"/>
    <mergeCell ref="C30:E31"/>
    <mergeCell ref="I30:I33"/>
    <mergeCell ref="C32:C33"/>
    <mergeCell ref="A55:B55"/>
    <mergeCell ref="M30:N31"/>
    <mergeCell ref="P30:P33"/>
    <mergeCell ref="M32:M33"/>
    <mergeCell ref="AE4:AE7"/>
    <mergeCell ref="AF4:AF7"/>
    <mergeCell ref="AE30:AE33"/>
    <mergeCell ref="AF30:AF33"/>
    <mergeCell ref="A34:L34"/>
    <mergeCell ref="L30:L33"/>
    <mergeCell ref="AC3:AF3"/>
    <mergeCell ref="AC4:AC7"/>
    <mergeCell ref="AB4:AB7"/>
    <mergeCell ref="X4:X7"/>
    <mergeCell ref="Y4:Y7"/>
    <mergeCell ref="R4:T4"/>
    <mergeCell ref="AA4:AA7"/>
    <mergeCell ref="Z4:Z7"/>
    <mergeCell ref="U4:U7"/>
    <mergeCell ref="N4:N7"/>
    <mergeCell ref="O4:O7"/>
    <mergeCell ref="M4:M7"/>
    <mergeCell ref="H3:L3"/>
    <mergeCell ref="F3:F7"/>
    <mergeCell ref="G3:G7"/>
    <mergeCell ref="M3:O3"/>
    <mergeCell ref="L4:L7"/>
    <mergeCell ref="C3:E3"/>
    <mergeCell ref="C4:C7"/>
    <mergeCell ref="D4:D7"/>
    <mergeCell ref="E4:E7"/>
    <mergeCell ref="B3:B7"/>
    <mergeCell ref="A3:A7"/>
  </mergeCells>
  <printOptions/>
  <pageMargins left="0" right="0" top="0.35433070866141736" bottom="0" header="0.31496062992125984" footer="0.31496062992125984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Юля</cp:lastModifiedBy>
  <cp:lastPrinted>2022-01-20T09:02:18Z</cp:lastPrinted>
  <dcterms:created xsi:type="dcterms:W3CDTF">2012-09-07T04:58:32Z</dcterms:created>
  <dcterms:modified xsi:type="dcterms:W3CDTF">2022-12-05T09:38:16Z</dcterms:modified>
  <cp:category/>
  <cp:version/>
  <cp:contentType/>
  <cp:contentStatus/>
</cp:coreProperties>
</file>